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0" yWindow="228" windowWidth="9156" windowHeight="4632" tabRatio="500"/>
  </bookViews>
  <sheets>
    <sheet name="overzicht" sheetId="1" r:id="rId1"/>
    <sheet name="ontvangsten" sheetId="2" r:id="rId2"/>
    <sheet name="uitgaven" sheetId="3" r:id="rId3"/>
  </sheets>
  <definedNames>
    <definedName name="_xlnm.Print_Area" localSheetId="1">ontvangsten!$B$1:$I$67</definedName>
    <definedName name="_xlnm.Print_Area" localSheetId="0">overzicht!$A$1:$J$31</definedName>
    <definedName name="_xlnm.Print_Area" localSheetId="2">uitgaven!$A$1:$H$67</definedName>
  </definedNames>
  <calcPr calcId="125725"/>
</workbook>
</file>

<file path=xl/calcChain.xml><?xml version="1.0" encoding="utf-8"?>
<calcChain xmlns="http://schemas.openxmlformats.org/spreadsheetml/2006/main">
  <c r="I3" i="2"/>
  <c r="I4" s="1"/>
  <c r="I5" s="1"/>
  <c r="F11"/>
  <c r="F12" s="1"/>
  <c r="F13" s="1"/>
  <c r="B9"/>
  <c r="B11"/>
  <c r="B12"/>
  <c r="F3" i="3"/>
  <c r="F4"/>
  <c r="H4" s="1"/>
  <c r="F5"/>
  <c r="H5" s="1"/>
  <c r="C14" s="1"/>
  <c r="F6"/>
  <c r="H6" s="1"/>
  <c r="B12"/>
  <c r="B14"/>
  <c r="B15" s="1"/>
  <c r="D11" i="2"/>
  <c r="H11" s="1"/>
  <c r="E34" i="3"/>
  <c r="E11" i="2"/>
  <c r="I11" s="1"/>
  <c r="G17" i="1"/>
  <c r="F14" i="3"/>
  <c r="F15"/>
  <c r="B33" i="1"/>
  <c r="H15" i="3"/>
  <c r="H65" s="1"/>
  <c r="G24" i="1" s="1"/>
  <c r="F16" i="3"/>
  <c r="H14"/>
  <c r="F17"/>
  <c r="H16"/>
  <c r="H17"/>
  <c r="F18"/>
  <c r="F19"/>
  <c r="H18"/>
  <c r="H19"/>
  <c r="F20"/>
  <c r="F21"/>
  <c r="H20"/>
  <c r="H21"/>
  <c r="F22"/>
  <c r="F23"/>
  <c r="H22"/>
  <c r="H23"/>
  <c r="F24"/>
  <c r="F25"/>
  <c r="H24"/>
  <c r="H25"/>
  <c r="F26"/>
  <c r="F27"/>
  <c r="H26"/>
  <c r="H27"/>
  <c r="F28"/>
  <c r="F29"/>
  <c r="H28"/>
  <c r="H29"/>
  <c r="F30"/>
  <c r="F31"/>
  <c r="H30"/>
  <c r="H31"/>
  <c r="F32"/>
  <c r="F33"/>
  <c r="H32"/>
  <c r="H33"/>
  <c r="F34"/>
  <c r="F35"/>
  <c r="H34"/>
  <c r="H35"/>
  <c r="F36"/>
  <c r="H36"/>
  <c r="F37"/>
  <c r="H37"/>
  <c r="F38"/>
  <c r="H38"/>
  <c r="F39"/>
  <c r="H39"/>
  <c r="F40"/>
  <c r="H40"/>
  <c r="F41"/>
  <c r="H41"/>
  <c r="F42"/>
  <c r="H42"/>
  <c r="F43"/>
  <c r="H43"/>
  <c r="F44"/>
  <c r="H44"/>
  <c r="F45"/>
  <c r="H45"/>
  <c r="F46"/>
  <c r="H46"/>
  <c r="F47"/>
  <c r="H47"/>
  <c r="F48"/>
  <c r="H48"/>
  <c r="F49"/>
  <c r="H49"/>
  <c r="F50"/>
  <c r="H50"/>
  <c r="F51"/>
  <c r="H51"/>
  <c r="F52"/>
  <c r="H52"/>
  <c r="F53"/>
  <c r="H53"/>
  <c r="F54"/>
  <c r="H54"/>
  <c r="F55"/>
  <c r="F56"/>
  <c r="H55"/>
  <c r="H56"/>
  <c r="F57"/>
  <c r="H57"/>
  <c r="F58"/>
  <c r="H58"/>
  <c r="F59"/>
  <c r="H59"/>
  <c r="F60"/>
  <c r="H60"/>
  <c r="F61"/>
  <c r="F62"/>
  <c r="H61"/>
  <c r="H62"/>
  <c r="F63"/>
  <c r="H63"/>
  <c r="B13" i="2"/>
  <c r="E13" s="1"/>
  <c r="D12"/>
  <c r="E12"/>
  <c r="B14"/>
  <c r="B15" s="1"/>
  <c r="D13"/>
  <c r="D14"/>
  <c r="H3" i="3" l="1"/>
  <c r="H7" s="1"/>
  <c r="D14" s="1"/>
  <c r="G14" s="1"/>
  <c r="C11" i="2"/>
  <c r="H13"/>
  <c r="F14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C15" i="3"/>
  <c r="B16"/>
  <c r="D15"/>
  <c r="D16" s="1"/>
  <c r="H14" i="2"/>
  <c r="I13"/>
  <c r="H12"/>
  <c r="I12"/>
  <c r="E15"/>
  <c r="I15" s="1"/>
  <c r="B16"/>
  <c r="D15"/>
  <c r="H15" s="1"/>
  <c r="E14"/>
  <c r="I14" s="1"/>
  <c r="E16" l="1"/>
  <c r="I16" s="1"/>
  <c r="B17"/>
  <c r="D16"/>
  <c r="H16" s="1"/>
  <c r="G11"/>
  <c r="C12"/>
  <c r="C16" i="3"/>
  <c r="G16" s="1"/>
  <c r="B17"/>
  <c r="G15"/>
  <c r="G12" i="2" l="1"/>
  <c r="C13"/>
  <c r="C17" i="3"/>
  <c r="G17" s="1"/>
  <c r="D17"/>
  <c r="B18"/>
  <c r="D17" i="2"/>
  <c r="H17" s="1"/>
  <c r="E17"/>
  <c r="I17" s="1"/>
  <c r="B18"/>
  <c r="D18" i="3" l="1"/>
  <c r="B19"/>
  <c r="C18"/>
  <c r="B19" i="2"/>
  <c r="E18"/>
  <c r="I18" s="1"/>
  <c r="D18"/>
  <c r="H18" s="1"/>
  <c r="G13"/>
  <c r="C14"/>
  <c r="G14" l="1"/>
  <c r="C15"/>
  <c r="B20" i="3"/>
  <c r="C19"/>
  <c r="G19" s="1"/>
  <c r="D19"/>
  <c r="E19" i="2"/>
  <c r="I19" s="1"/>
  <c r="D19"/>
  <c r="H19" s="1"/>
  <c r="B20"/>
  <c r="G18" i="3"/>
  <c r="B21" i="2" l="1"/>
  <c r="D20"/>
  <c r="H20" s="1"/>
  <c r="E20"/>
  <c r="I20" s="1"/>
  <c r="G15"/>
  <c r="C16"/>
  <c r="D20" i="3"/>
  <c r="C20"/>
  <c r="B21"/>
  <c r="D21" l="1"/>
  <c r="B22"/>
  <c r="C21"/>
  <c r="G16" i="2"/>
  <c r="C17"/>
  <c r="D21"/>
  <c r="H21" s="1"/>
  <c r="E21"/>
  <c r="I21" s="1"/>
  <c r="B22"/>
  <c r="G20" i="3"/>
  <c r="E22" i="2" l="1"/>
  <c r="I22" s="1"/>
  <c r="D22"/>
  <c r="H22" s="1"/>
  <c r="B23"/>
  <c r="B23" i="3"/>
  <c r="C22"/>
  <c r="D22"/>
  <c r="G17" i="2"/>
  <c r="C18"/>
  <c r="G21" i="3"/>
  <c r="G18" i="2" l="1"/>
  <c r="C19"/>
  <c r="B24"/>
  <c r="E23"/>
  <c r="I23" s="1"/>
  <c r="D23"/>
  <c r="H23" s="1"/>
  <c r="B24" i="3"/>
  <c r="C23"/>
  <c r="D23"/>
  <c r="G22"/>
  <c r="D24" l="1"/>
  <c r="B25"/>
  <c r="C24"/>
  <c r="G19" i="2"/>
  <c r="C20"/>
  <c r="B25"/>
  <c r="E24"/>
  <c r="I24" s="1"/>
  <c r="D24"/>
  <c r="H24" s="1"/>
  <c r="G23" i="3"/>
  <c r="B26" l="1"/>
  <c r="C25"/>
  <c r="G25" s="1"/>
  <c r="D25"/>
  <c r="G20" i="2"/>
  <c r="C21"/>
  <c r="B26"/>
  <c r="D25"/>
  <c r="H25" s="1"/>
  <c r="E25"/>
  <c r="I25" s="1"/>
  <c r="G24" i="3"/>
  <c r="C26" l="1"/>
  <c r="G26" s="1"/>
  <c r="B27"/>
  <c r="D26"/>
  <c r="G21" i="2"/>
  <c r="C22"/>
  <c r="B27"/>
  <c r="D26"/>
  <c r="H26" s="1"/>
  <c r="E26"/>
  <c r="I26" s="1"/>
  <c r="C27" i="3" l="1"/>
  <c r="G27" s="1"/>
  <c r="D27"/>
  <c r="B28"/>
  <c r="B28" i="2"/>
  <c r="D27"/>
  <c r="H27" s="1"/>
  <c r="E27"/>
  <c r="I27" s="1"/>
  <c r="G22"/>
  <c r="C23"/>
  <c r="D28" i="3" l="1"/>
  <c r="C28"/>
  <c r="B29"/>
  <c r="G23" i="2"/>
  <c r="C24"/>
  <c r="D28"/>
  <c r="H28" s="1"/>
  <c r="B29"/>
  <c r="E28"/>
  <c r="I28" s="1"/>
  <c r="G24" l="1"/>
  <c r="C25"/>
  <c r="D29"/>
  <c r="H29" s="1"/>
  <c r="E29"/>
  <c r="I29" s="1"/>
  <c r="B30"/>
  <c r="D29" i="3"/>
  <c r="C29"/>
  <c r="B30"/>
  <c r="G28"/>
  <c r="G25" i="2" l="1"/>
  <c r="C26"/>
  <c r="D30" i="3"/>
  <c r="C30"/>
  <c r="B31"/>
  <c r="E30" i="2"/>
  <c r="I30" s="1"/>
  <c r="D30"/>
  <c r="H30" s="1"/>
  <c r="B31"/>
  <c r="G29" i="3"/>
  <c r="G26" i="2" l="1"/>
  <c r="C27"/>
  <c r="D31" i="3"/>
  <c r="C31"/>
  <c r="B32"/>
  <c r="E31" i="2"/>
  <c r="I31" s="1"/>
  <c r="D31"/>
  <c r="H31" s="1"/>
  <c r="B32"/>
  <c r="G30" i="3"/>
  <c r="E32" i="2" l="1"/>
  <c r="I32" s="1"/>
  <c r="B33"/>
  <c r="D32"/>
  <c r="H32" s="1"/>
  <c r="G27"/>
  <c r="C28"/>
  <c r="B33" i="3"/>
  <c r="D32"/>
  <c r="C32"/>
  <c r="G32" s="1"/>
  <c r="G31"/>
  <c r="B34" i="2" l="1"/>
  <c r="E33"/>
  <c r="I33" s="1"/>
  <c r="D33"/>
  <c r="H33" s="1"/>
  <c r="B34" i="3"/>
  <c r="C33"/>
  <c r="D33"/>
  <c r="G28" i="2"/>
  <c r="C29"/>
  <c r="G29" l="1"/>
  <c r="C30"/>
  <c r="D34"/>
  <c r="H34" s="1"/>
  <c r="B35"/>
  <c r="E34"/>
  <c r="I34" s="1"/>
  <c r="C34" i="3"/>
  <c r="B35"/>
  <c r="D34"/>
  <c r="G33"/>
  <c r="B36" i="2" l="1"/>
  <c r="D35"/>
  <c r="H35" s="1"/>
  <c r="E35"/>
  <c r="I35" s="1"/>
  <c r="G34" i="3"/>
  <c r="G30" i="2"/>
  <c r="C31"/>
  <c r="C35" i="3"/>
  <c r="B36"/>
  <c r="D35"/>
  <c r="D36" i="2" l="1"/>
  <c r="H36" s="1"/>
  <c r="E36"/>
  <c r="I36" s="1"/>
  <c r="B37"/>
  <c r="G31"/>
  <c r="C32"/>
  <c r="D36" i="3"/>
  <c r="C36"/>
  <c r="B37"/>
  <c r="G35"/>
  <c r="D37" l="1"/>
  <c r="C37"/>
  <c r="B38"/>
  <c r="D37" i="2"/>
  <c r="H37" s="1"/>
  <c r="E37"/>
  <c r="I37" s="1"/>
  <c r="B38"/>
  <c r="G32"/>
  <c r="C33"/>
  <c r="G36" i="3"/>
  <c r="D38" l="1"/>
  <c r="C38"/>
  <c r="B39"/>
  <c r="E38" i="2"/>
  <c r="I38" s="1"/>
  <c r="D38"/>
  <c r="H38" s="1"/>
  <c r="B39"/>
  <c r="G33"/>
  <c r="C34"/>
  <c r="G37" i="3"/>
  <c r="G34" i="2" l="1"/>
  <c r="C35"/>
  <c r="D39" i="3"/>
  <c r="C39"/>
  <c r="B40"/>
  <c r="E39" i="2"/>
  <c r="I39" s="1"/>
  <c r="D39"/>
  <c r="H39" s="1"/>
  <c r="B40"/>
  <c r="G38" i="3"/>
  <c r="G35" i="2" l="1"/>
  <c r="C36"/>
  <c r="D40" i="3"/>
  <c r="C40"/>
  <c r="B41"/>
  <c r="E40" i="2"/>
  <c r="I40" s="1"/>
  <c r="B41"/>
  <c r="D40"/>
  <c r="H40" s="1"/>
  <c r="G39" i="3"/>
  <c r="B42" l="1"/>
  <c r="C41"/>
  <c r="G41" s="1"/>
  <c r="D41"/>
  <c r="B42" i="2"/>
  <c r="E41"/>
  <c r="I41" s="1"/>
  <c r="D41"/>
  <c r="H41" s="1"/>
  <c r="G40" i="3"/>
  <c r="G36" i="2"/>
  <c r="C37"/>
  <c r="C42" i="3" l="1"/>
  <c r="G42" s="1"/>
  <c r="B43"/>
  <c r="D42"/>
  <c r="G37" i="2"/>
  <c r="C38"/>
  <c r="B43"/>
  <c r="D42"/>
  <c r="H42" s="1"/>
  <c r="E42"/>
  <c r="I42" s="1"/>
  <c r="G38" l="1"/>
  <c r="C39"/>
  <c r="C43" i="3"/>
  <c r="G43" s="1"/>
  <c r="B44"/>
  <c r="D43"/>
  <c r="D43" i="2"/>
  <c r="H43" s="1"/>
  <c r="B44"/>
  <c r="E43"/>
  <c r="I43" s="1"/>
  <c r="D44" l="1"/>
  <c r="H44" s="1"/>
  <c r="E44"/>
  <c r="I44" s="1"/>
  <c r="B45"/>
  <c r="G39"/>
  <c r="C40"/>
  <c r="D44" i="3"/>
  <c r="C44"/>
  <c r="B45"/>
  <c r="B46" l="1"/>
  <c r="C45"/>
  <c r="G45" s="1"/>
  <c r="D45"/>
  <c r="D45" i="2"/>
  <c r="H45" s="1"/>
  <c r="E45"/>
  <c r="I45" s="1"/>
  <c r="B46"/>
  <c r="G40"/>
  <c r="C41"/>
  <c r="G44" i="3"/>
  <c r="D46" l="1"/>
  <c r="C46"/>
  <c r="B47"/>
  <c r="E46" i="2"/>
  <c r="I46" s="1"/>
  <c r="D46"/>
  <c r="H46" s="1"/>
  <c r="B47"/>
  <c r="G41"/>
  <c r="C42"/>
  <c r="G42" l="1"/>
  <c r="C43"/>
  <c r="D47" i="3"/>
  <c r="C47"/>
  <c r="B48"/>
  <c r="E47" i="2"/>
  <c r="I47" s="1"/>
  <c r="B48"/>
  <c r="D47"/>
  <c r="H47" s="1"/>
  <c r="G46" i="3"/>
  <c r="G43" i="2" l="1"/>
  <c r="C44"/>
  <c r="D48" i="3"/>
  <c r="C48"/>
  <c r="B49"/>
  <c r="E48" i="2"/>
  <c r="I48" s="1"/>
  <c r="B49"/>
  <c r="D48"/>
  <c r="H48" s="1"/>
  <c r="G47" i="3"/>
  <c r="G44" i="2" l="1"/>
  <c r="C45"/>
  <c r="C49" i="3"/>
  <c r="G49" s="1"/>
  <c r="D49"/>
  <c r="B50"/>
  <c r="G48"/>
  <c r="E49" i="2"/>
  <c r="I49" s="1"/>
  <c r="D49"/>
  <c r="H49" s="1"/>
  <c r="B50"/>
  <c r="D50" l="1"/>
  <c r="H50" s="1"/>
  <c r="B51"/>
  <c r="E50"/>
  <c r="I50" s="1"/>
  <c r="G45"/>
  <c r="C46"/>
  <c r="C50" i="3"/>
  <c r="B51"/>
  <c r="D50"/>
  <c r="G50" l="1"/>
  <c r="B52" i="2"/>
  <c r="D51"/>
  <c r="H51" s="1"/>
  <c r="C51"/>
  <c r="G51" s="1"/>
  <c r="E51"/>
  <c r="I51" s="1"/>
  <c r="G46"/>
  <c r="C47"/>
  <c r="B52" i="3"/>
  <c r="D51"/>
  <c r="C51"/>
  <c r="G47" i="2" l="1"/>
  <c r="C48"/>
  <c r="E52"/>
  <c r="I52" s="1"/>
  <c r="B53"/>
  <c r="D52"/>
  <c r="H52" s="1"/>
  <c r="C52"/>
  <c r="G52" s="1"/>
  <c r="C52" i="3"/>
  <c r="B53"/>
  <c r="D52"/>
  <c r="G51"/>
  <c r="C53" i="2" l="1"/>
  <c r="G53" s="1"/>
  <c r="B54"/>
  <c r="D53"/>
  <c r="H53" s="1"/>
  <c r="E53"/>
  <c r="I53" s="1"/>
  <c r="G52" i="3"/>
  <c r="G48" i="2"/>
  <c r="C49"/>
  <c r="C53" i="3"/>
  <c r="D53"/>
  <c r="B54"/>
  <c r="B55" l="1"/>
  <c r="C54"/>
  <c r="G54" s="1"/>
  <c r="D54"/>
  <c r="G49" i="2"/>
  <c r="C50"/>
  <c r="G50" s="1"/>
  <c r="E54"/>
  <c r="I54" s="1"/>
  <c r="D54"/>
  <c r="H54" s="1"/>
  <c r="C54"/>
  <c r="G54" s="1"/>
  <c r="B55"/>
  <c r="G53" i="3"/>
  <c r="B56" l="1"/>
  <c r="D55"/>
  <c r="C55"/>
  <c r="D55" i="2"/>
  <c r="H55" s="1"/>
  <c r="B56"/>
  <c r="C55"/>
  <c r="G55" s="1"/>
  <c r="E55"/>
  <c r="I55" s="1"/>
  <c r="C56" i="3" l="1"/>
  <c r="G56" s="1"/>
  <c r="B57"/>
  <c r="D56"/>
  <c r="C56" i="2"/>
  <c r="G56" s="1"/>
  <c r="B57"/>
  <c r="E56"/>
  <c r="I56" s="1"/>
  <c r="D56"/>
  <c r="H56" s="1"/>
  <c r="G55" i="3"/>
  <c r="B58" l="1"/>
  <c r="D57"/>
  <c r="C57"/>
  <c r="G57" s="1"/>
  <c r="D57" i="2"/>
  <c r="H57" s="1"/>
  <c r="C57"/>
  <c r="G57" s="1"/>
  <c r="B58"/>
  <c r="E57"/>
  <c r="I57" s="1"/>
  <c r="B59" i="3" l="1"/>
  <c r="D58"/>
  <c r="C58"/>
  <c r="C58" i="2"/>
  <c r="G58" s="1"/>
  <c r="B59"/>
  <c r="E58"/>
  <c r="I58" s="1"/>
  <c r="D58"/>
  <c r="H58" s="1"/>
  <c r="B60" i="3" l="1"/>
  <c r="D59"/>
  <c r="C59"/>
  <c r="D59" i="2"/>
  <c r="H59" s="1"/>
  <c r="B60"/>
  <c r="C59"/>
  <c r="G59" s="1"/>
  <c r="E59"/>
  <c r="I59" s="1"/>
  <c r="I62" s="1"/>
  <c r="G26" i="1" s="1"/>
  <c r="G58" i="3"/>
  <c r="D60" i="2" l="1"/>
  <c r="H60" s="1"/>
  <c r="H62" s="1"/>
  <c r="G22" i="1" s="1"/>
  <c r="C60" i="2"/>
  <c r="G60" s="1"/>
  <c r="G62" s="1"/>
  <c r="G21" i="1" s="1"/>
  <c r="E60" i="2"/>
  <c r="C60" i="3"/>
  <c r="G60" s="1"/>
  <c r="B61"/>
  <c r="D60"/>
  <c r="G59"/>
  <c r="C61" l="1"/>
  <c r="G61" s="1"/>
  <c r="B62"/>
  <c r="D61"/>
  <c r="B63" l="1"/>
  <c r="C62"/>
  <c r="G62" s="1"/>
  <c r="D62"/>
  <c r="C63" l="1"/>
  <c r="G63" s="1"/>
  <c r="G65" s="1"/>
  <c r="G23" i="1" s="1"/>
  <c r="G28" s="1"/>
  <c r="D63" i="3"/>
</calcChain>
</file>

<file path=xl/sharedStrings.xml><?xml version="1.0" encoding="utf-8"?>
<sst xmlns="http://schemas.openxmlformats.org/spreadsheetml/2006/main" count="71" uniqueCount="60">
  <si>
    <t>Algemene gegevens:</t>
  </si>
  <si>
    <t>Naam complex:</t>
  </si>
  <si>
    <t>Ingangsjaar:</t>
  </si>
  <si>
    <t>Levensduur:</t>
  </si>
  <si>
    <t>Beheerkosten:</t>
  </si>
  <si>
    <t>Onderhoud:</t>
  </si>
  <si>
    <t>Contante waarde huren</t>
  </si>
  <si>
    <t>Contante waarde bijdragen</t>
  </si>
  <si>
    <t>Af: contante waarde variabele lasten</t>
  </si>
  <si>
    <t>Af: contante waarde groot onderhoud</t>
  </si>
  <si>
    <t>Af: investering</t>
  </si>
  <si>
    <t>Bij: restwaarde</t>
  </si>
  <si>
    <t>BEDRIJFSWAARDE</t>
  </si>
  <si>
    <t>jaar</t>
  </si>
  <si>
    <t>Uitgangspunten ingangsjaar:</t>
  </si>
  <si>
    <t>Zakelijke lasten in % van de investering:</t>
  </si>
  <si>
    <t>Huurderving:</t>
  </si>
  <si>
    <t>Jaar</t>
  </si>
  <si>
    <t>Huuropbrengst</t>
  </si>
  <si>
    <t>Subsidies</t>
  </si>
  <si>
    <t>Restwaarde</t>
  </si>
  <si>
    <t>Ontvangsten</t>
  </si>
  <si>
    <t>Periode</t>
  </si>
  <si>
    <t>Contante waarde</t>
  </si>
  <si>
    <t>huuropbrengst</t>
  </si>
  <si>
    <t>subsidies</t>
  </si>
  <si>
    <t>Contante</t>
  </si>
  <si>
    <t>restwaarde</t>
  </si>
  <si>
    <t>Variabele lasten:</t>
  </si>
  <si>
    <t>huurderving</t>
  </si>
  <si>
    <t>algemeen beheer</t>
  </si>
  <si>
    <t>onderhoud</t>
  </si>
  <si>
    <t>zakelijke lasten in % van de invest.</t>
  </si>
  <si>
    <t>Totaal variabele lasten</t>
  </si>
  <si>
    <t>Variabele lasten</t>
  </si>
  <si>
    <t>Uitgaven</t>
  </si>
  <si>
    <t>Groot</t>
  </si>
  <si>
    <t>variabele lasten</t>
  </si>
  <si>
    <t>groot onderhoud</t>
  </si>
  <si>
    <t>Indirect rendement:</t>
  </si>
  <si>
    <t>Direct rendement:</t>
  </si>
  <si>
    <t>Huurverhoging 1e 4 jaar:</t>
  </si>
  <si>
    <t>Huurverhoging volgende jaren:</t>
  </si>
  <si>
    <t>Stijging variabele lasten</t>
  </si>
  <si>
    <t>Stijging onderhoud</t>
  </si>
  <si>
    <t>Onderhoud</t>
  </si>
  <si>
    <t xml:space="preserve">overige </t>
  </si>
  <si>
    <t>Grondwaarde:</t>
  </si>
  <si>
    <t>Restwaarde incl. grond:</t>
  </si>
  <si>
    <t>per m2 per jaar</t>
  </si>
  <si>
    <t>m2</t>
  </si>
  <si>
    <t>/m2</t>
  </si>
  <si>
    <t>Aantal m2 bvo:</t>
  </si>
  <si>
    <t>Huuropbrengst per m2 per maand:</t>
  </si>
  <si>
    <t>Huuropbrengst per m2 per jaar:</t>
  </si>
  <si>
    <t>per m2</t>
  </si>
  <si>
    <t>Huuropbrengst van de job-lodge per jaar:</t>
  </si>
  <si>
    <t>Job-lodge 18 k - 22 p</t>
  </si>
  <si>
    <t>De parameters in blauwe kleur zijn aan te passen en worden dan automatisch doorgerekend.</t>
  </si>
  <si>
    <t>BEDRIJFSWAARDEBEREKENING JOB-LODGE</t>
  </si>
</sst>
</file>

<file path=xl/styles.xml><?xml version="1.0" encoding="utf-8"?>
<styleSheet xmlns="http://schemas.openxmlformats.org/spreadsheetml/2006/main">
  <numFmts count="4">
    <numFmt numFmtId="172" formatCode="&quot;fl&quot;\ #,##0_-;&quot;fl&quot;\ #,##0\-"/>
    <numFmt numFmtId="178" formatCode="#,##0.0"/>
    <numFmt numFmtId="179" formatCode="[&lt;36526]dd\-mmm\-yy;dd\-mmm\-yyyy"/>
    <numFmt numFmtId="180" formatCode="mmmm\ d\,\ yyyy"/>
  </numFmts>
  <fonts count="1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15"/>
        <bgColor indexed="8"/>
      </patternFill>
    </fill>
    <fill>
      <patternFill patternType="solid">
        <fgColor indexed="13"/>
        <bgColor indexed="15"/>
      </patternFill>
    </fill>
  </fills>
  <borders count="1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180" fontId="1" fillId="0" borderId="0" applyFill="0" applyBorder="0" applyAlignment="0" applyProtection="0"/>
    <xf numFmtId="3" fontId="1" fillId="0" borderId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1" applyNumberFormat="0" applyFill="0" applyAlignment="0" applyProtection="0"/>
    <xf numFmtId="172" fontId="1" fillId="0" borderId="0" applyFill="0" applyBorder="0" applyAlignment="0" applyProtection="0"/>
    <xf numFmtId="2" fontId="1" fillId="0" borderId="0" applyFill="0" applyBorder="0" applyAlignment="0" applyProtection="0"/>
  </cellStyleXfs>
  <cellXfs count="70">
    <xf numFmtId="0" fontId="0" fillId="0" borderId="0" xfId="0"/>
    <xf numFmtId="0" fontId="4" fillId="0" borderId="0" xfId="5" applyFont="1"/>
    <xf numFmtId="0" fontId="1" fillId="0" borderId="2" xfId="5" applyFont="1" applyBorder="1"/>
    <xf numFmtId="0" fontId="4" fillId="0" borderId="2" xfId="5" applyFont="1" applyBorder="1"/>
    <xf numFmtId="0" fontId="1" fillId="0" borderId="3" xfId="5" applyFont="1" applyBorder="1"/>
    <xf numFmtId="0" fontId="1" fillId="0" borderId="4" xfId="5" applyFont="1" applyBorder="1"/>
    <xf numFmtId="0" fontId="1" fillId="0" borderId="5" xfId="5" applyFont="1" applyBorder="1"/>
    <xf numFmtId="0" fontId="6" fillId="0" borderId="4" xfId="5" applyFont="1" applyBorder="1"/>
    <xf numFmtId="0" fontId="1" fillId="0" borderId="6" xfId="5" applyFont="1" applyBorder="1"/>
    <xf numFmtId="0" fontId="1" fillId="0" borderId="7" xfId="5" applyFont="1" applyBorder="1"/>
    <xf numFmtId="0" fontId="1" fillId="0" borderId="8" xfId="5" applyFont="1" applyBorder="1"/>
    <xf numFmtId="178" fontId="1" fillId="0" borderId="0" xfId="5" applyNumberFormat="1" applyFont="1"/>
    <xf numFmtId="178" fontId="1" fillId="0" borderId="5" xfId="5" applyNumberFormat="1" applyFont="1" applyBorder="1"/>
    <xf numFmtId="178" fontId="1" fillId="0" borderId="7" xfId="5" applyNumberFormat="1" applyFont="1" applyBorder="1"/>
    <xf numFmtId="178" fontId="1" fillId="0" borderId="8" xfId="5" applyNumberFormat="1" applyFont="1" applyBorder="1"/>
    <xf numFmtId="178" fontId="1" fillId="2" borderId="0" xfId="5" applyNumberFormat="1" applyFont="1" applyFill="1"/>
    <xf numFmtId="0" fontId="1" fillId="0" borderId="9" xfId="5" applyFont="1" applyBorder="1"/>
    <xf numFmtId="178" fontId="1" fillId="0" borderId="10" xfId="5" applyNumberFormat="1" applyFont="1" applyBorder="1"/>
    <xf numFmtId="178" fontId="5" fillId="0" borderId="10" xfId="5" applyNumberFormat="1" applyFont="1" applyBorder="1"/>
    <xf numFmtId="178" fontId="7" fillId="0" borderId="10" xfId="5" applyNumberFormat="1" applyFont="1" applyBorder="1"/>
    <xf numFmtId="178" fontId="1" fillId="0" borderId="11" xfId="5" applyNumberFormat="1" applyFont="1" applyBorder="1"/>
    <xf numFmtId="0" fontId="1" fillId="2" borderId="3" xfId="5" applyFont="1" applyFill="1" applyBorder="1"/>
    <xf numFmtId="178" fontId="1" fillId="2" borderId="5" xfId="5" applyNumberFormat="1" applyFont="1" applyFill="1" applyBorder="1"/>
    <xf numFmtId="178" fontId="1" fillId="2" borderId="8" xfId="5" applyNumberFormat="1" applyFont="1" applyFill="1" applyBorder="1"/>
    <xf numFmtId="178" fontId="1" fillId="0" borderId="0" xfId="5" applyNumberFormat="1" applyFont="1" applyAlignment="1">
      <alignment horizontal="center"/>
    </xf>
    <xf numFmtId="178" fontId="1" fillId="0" borderId="7" xfId="5" applyNumberFormat="1" applyFont="1" applyBorder="1" applyAlignment="1">
      <alignment horizontal="center"/>
    </xf>
    <xf numFmtId="0" fontId="1" fillId="0" borderId="0" xfId="5" applyFont="1" applyAlignment="1">
      <alignment horizontal="center"/>
    </xf>
    <xf numFmtId="0" fontId="1" fillId="0" borderId="2" xfId="5" applyFont="1" applyBorder="1" applyAlignment="1">
      <alignment horizontal="center"/>
    </xf>
    <xf numFmtId="178" fontId="1" fillId="0" borderId="12" xfId="5" applyNumberFormat="1" applyFont="1" applyBorder="1"/>
    <xf numFmtId="178" fontId="1" fillId="0" borderId="13" xfId="5" applyNumberFormat="1" applyFont="1" applyBorder="1"/>
    <xf numFmtId="178" fontId="1" fillId="2" borderId="0" xfId="5" applyNumberFormat="1" applyFont="1" applyFill="1" applyAlignment="1">
      <alignment horizontal="center"/>
    </xf>
    <xf numFmtId="0" fontId="1" fillId="2" borderId="2" xfId="5" applyFont="1" applyFill="1" applyBorder="1"/>
    <xf numFmtId="178" fontId="1" fillId="2" borderId="7" xfId="5" applyNumberFormat="1" applyFont="1" applyFill="1" applyBorder="1"/>
    <xf numFmtId="178" fontId="1" fillId="2" borderId="12" xfId="5" applyNumberFormat="1" applyFont="1" applyFill="1" applyBorder="1"/>
    <xf numFmtId="178" fontId="1" fillId="2" borderId="13" xfId="5" applyNumberFormat="1" applyFont="1" applyFill="1" applyBorder="1"/>
    <xf numFmtId="178" fontId="1" fillId="0" borderId="14" xfId="5" applyNumberFormat="1" applyFont="1" applyBorder="1"/>
    <xf numFmtId="178" fontId="1" fillId="2" borderId="15" xfId="5" applyNumberFormat="1" applyFont="1" applyFill="1" applyBorder="1"/>
    <xf numFmtId="0" fontId="1" fillId="0" borderId="0" xfId="5" applyFont="1" applyProtection="1">
      <protection locked="0"/>
    </xf>
    <xf numFmtId="0" fontId="1" fillId="3" borderId="0" xfId="5" applyFont="1" applyFill="1" applyProtection="1">
      <protection locked="0"/>
    </xf>
    <xf numFmtId="10" fontId="1" fillId="3" borderId="7" xfId="5" applyNumberFormat="1" applyFont="1" applyFill="1" applyBorder="1" applyProtection="1">
      <protection locked="0"/>
    </xf>
    <xf numFmtId="178" fontId="1" fillId="3" borderId="0" xfId="5" applyNumberFormat="1" applyFont="1" applyFill="1" applyProtection="1">
      <protection locked="0"/>
    </xf>
    <xf numFmtId="0" fontId="1" fillId="2" borderId="7" xfId="5" applyFont="1" applyFill="1" applyBorder="1"/>
    <xf numFmtId="178" fontId="1" fillId="3" borderId="9" xfId="5" applyNumberFormat="1" applyFont="1" applyFill="1" applyBorder="1"/>
    <xf numFmtId="178" fontId="1" fillId="3" borderId="11" xfId="5" applyNumberFormat="1" applyFont="1" applyFill="1" applyBorder="1"/>
    <xf numFmtId="0" fontId="1" fillId="0" borderId="10" xfId="5" applyFont="1" applyBorder="1"/>
    <xf numFmtId="0" fontId="1" fillId="2" borderId="0" xfId="5" applyFont="1" applyFill="1" applyAlignment="1">
      <alignment horizontal="center"/>
    </xf>
    <xf numFmtId="179" fontId="1" fillId="0" borderId="0" xfId="5" applyNumberFormat="1" applyFont="1"/>
    <xf numFmtId="0" fontId="5" fillId="0" borderId="10" xfId="5" applyFont="1" applyBorder="1"/>
    <xf numFmtId="0" fontId="1" fillId="0" borderId="0" xfId="5" applyFont="1" applyAlignment="1">
      <alignment horizontal="right"/>
    </xf>
    <xf numFmtId="10" fontId="1" fillId="2" borderId="0" xfId="5" applyNumberFormat="1" applyFont="1" applyFill="1"/>
    <xf numFmtId="3" fontId="1" fillId="3" borderId="0" xfId="5" applyNumberFormat="1" applyFont="1" applyFill="1" applyProtection="1">
      <protection locked="0"/>
    </xf>
    <xf numFmtId="178" fontId="1" fillId="0" borderId="0" xfId="5" applyNumberFormat="1" applyFont="1" applyProtection="1">
      <protection locked="0"/>
    </xf>
    <xf numFmtId="178" fontId="1" fillId="3" borderId="10" xfId="5" applyNumberFormat="1" applyFont="1" applyFill="1" applyBorder="1"/>
    <xf numFmtId="178" fontId="1" fillId="0" borderId="6" xfId="5" applyNumberFormat="1" applyFont="1" applyBorder="1"/>
    <xf numFmtId="4" fontId="1" fillId="3" borderId="0" xfId="5" applyNumberFormat="1" applyFont="1" applyFill="1" applyProtection="1">
      <protection locked="0"/>
    </xf>
    <xf numFmtId="4" fontId="1" fillId="0" borderId="12" xfId="5" applyNumberFormat="1" applyFont="1" applyBorder="1"/>
    <xf numFmtId="4" fontId="1" fillId="0" borderId="13" xfId="5" applyNumberFormat="1" applyFont="1" applyBorder="1"/>
    <xf numFmtId="4" fontId="1" fillId="3" borderId="13" xfId="5" applyNumberFormat="1" applyFont="1" applyFill="1" applyBorder="1" applyProtection="1">
      <protection locked="0"/>
    </xf>
    <xf numFmtId="4" fontId="1" fillId="0" borderId="14" xfId="5" applyNumberFormat="1" applyFont="1" applyBorder="1"/>
    <xf numFmtId="4" fontId="1" fillId="4" borderId="16" xfId="5" applyNumberFormat="1" applyFont="1" applyFill="1" applyBorder="1"/>
    <xf numFmtId="4" fontId="1" fillId="3" borderId="7" xfId="5" applyNumberFormat="1" applyFont="1" applyFill="1" applyBorder="1" applyProtection="1">
      <protection locked="0"/>
    </xf>
    <xf numFmtId="0" fontId="9" fillId="0" borderId="17" xfId="5" applyFont="1" applyBorder="1"/>
    <xf numFmtId="4" fontId="1" fillId="2" borderId="0" xfId="5" applyNumberFormat="1" applyFont="1" applyFill="1"/>
    <xf numFmtId="2" fontId="0" fillId="0" borderId="0" xfId="0" applyNumberFormat="1"/>
    <xf numFmtId="0" fontId="0" fillId="0" borderId="2" xfId="5" applyFont="1" applyBorder="1"/>
    <xf numFmtId="0" fontId="0" fillId="3" borderId="0" xfId="5" applyFont="1" applyFill="1" applyProtection="1">
      <protection locked="0"/>
    </xf>
    <xf numFmtId="0" fontId="0" fillId="0" borderId="5" xfId="5" applyFont="1" applyBorder="1"/>
    <xf numFmtId="0" fontId="0" fillId="0" borderId="3" xfId="5" applyFont="1" applyBorder="1"/>
    <xf numFmtId="0" fontId="10" fillId="0" borderId="3" xfId="5" applyFont="1" applyBorder="1"/>
    <xf numFmtId="0" fontId="5" fillId="0" borderId="4" xfId="5" applyFont="1" applyBorder="1"/>
  </cellXfs>
  <cellStyles count="9">
    <cellStyle name="Datum" xfId="1"/>
    <cellStyle name="Komma0" xfId="2"/>
    <cellStyle name="Koptekst 1" xfId="3"/>
    <cellStyle name="Koptekst 2" xfId="4"/>
    <cellStyle name="Normaal" xfId="5"/>
    <cellStyle name="Standaard" xfId="0" builtinId="0"/>
    <cellStyle name="Totaal" xfId="6" builtinId="25" customBuiltin="1"/>
    <cellStyle name="Valuta0" xfId="7"/>
    <cellStyle name="Vast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B1:K49"/>
  <sheetViews>
    <sheetView tabSelected="1" showOutlineSymbols="0" zoomScale="90" workbookViewId="0">
      <selection activeCell="C33" sqref="C33"/>
    </sheetView>
  </sheetViews>
  <sheetFormatPr defaultRowHeight="13.2"/>
  <cols>
    <col min="1" max="1" width="0.44140625" customWidth="1"/>
    <col min="2" max="2" width="12.33203125" customWidth="1"/>
    <col min="3" max="3" width="11.6640625" customWidth="1"/>
    <col min="4" max="4" width="9.88671875" bestFit="1" customWidth="1"/>
    <col min="7" max="7" width="14.6640625" customWidth="1"/>
    <col min="8" max="8" width="13.6640625" customWidth="1"/>
    <col min="9" max="9" width="11.109375" customWidth="1"/>
    <col min="10" max="10" width="1.33203125" customWidth="1"/>
  </cols>
  <sheetData>
    <row r="1" spans="2:11" ht="24.6">
      <c r="B1" s="61"/>
      <c r="C1" s="69" t="s">
        <v>59</v>
      </c>
      <c r="D1" s="7"/>
      <c r="E1" s="5"/>
      <c r="F1" s="5"/>
      <c r="G1" s="5"/>
      <c r="H1" s="5"/>
      <c r="I1" s="8"/>
    </row>
    <row r="2" spans="2:11">
      <c r="B2" s="67"/>
      <c r="C2" s="6"/>
      <c r="D2" s="66"/>
      <c r="E2" s="6"/>
      <c r="F2" s="6"/>
      <c r="G2" s="6"/>
      <c r="H2" s="6"/>
      <c r="I2" s="10"/>
    </row>
    <row r="3" spans="2:11">
      <c r="B3" s="2"/>
      <c r="I3" s="9"/>
    </row>
    <row r="4" spans="2:11">
      <c r="B4" s="2"/>
      <c r="I4" s="9"/>
    </row>
    <row r="5" spans="2:11">
      <c r="B5" s="3" t="s">
        <v>0</v>
      </c>
      <c r="E5" s="37"/>
      <c r="F5" s="1" t="s">
        <v>14</v>
      </c>
      <c r="I5" s="9"/>
    </row>
    <row r="6" spans="2:11">
      <c r="B6" s="2"/>
      <c r="I6" s="9"/>
    </row>
    <row r="7" spans="2:11">
      <c r="B7" s="2"/>
      <c r="I7" s="9"/>
    </row>
    <row r="8" spans="2:11">
      <c r="B8" s="2" t="s">
        <v>1</v>
      </c>
      <c r="D8" s="65" t="s">
        <v>57</v>
      </c>
      <c r="E8" s="38"/>
      <c r="F8" t="s">
        <v>41</v>
      </c>
      <c r="I8" s="39">
        <v>2.2499999999999999E-2</v>
      </c>
      <c r="K8" s="11"/>
    </row>
    <row r="9" spans="2:11">
      <c r="B9" s="2" t="s">
        <v>52</v>
      </c>
      <c r="D9" s="38">
        <v>400</v>
      </c>
      <c r="E9" t="s">
        <v>50</v>
      </c>
      <c r="F9" t="s">
        <v>42</v>
      </c>
      <c r="I9" s="39">
        <v>2.2499999999999999E-2</v>
      </c>
      <c r="K9" s="11"/>
    </row>
    <row r="10" spans="2:11">
      <c r="B10" s="2" t="s">
        <v>2</v>
      </c>
      <c r="D10" s="38">
        <v>2013</v>
      </c>
      <c r="F10" t="s">
        <v>39</v>
      </c>
      <c r="I10" s="39">
        <v>2.2499999999999999E-2</v>
      </c>
      <c r="K10" s="11"/>
    </row>
    <row r="11" spans="2:11">
      <c r="B11" s="2" t="s">
        <v>3</v>
      </c>
      <c r="D11" s="38">
        <v>40</v>
      </c>
      <c r="E11" t="s">
        <v>13</v>
      </c>
      <c r="F11" t="s">
        <v>40</v>
      </c>
      <c r="I11" s="39">
        <v>0.06</v>
      </c>
      <c r="K11" s="11"/>
    </row>
    <row r="12" spans="2:11">
      <c r="B12" s="2" t="s">
        <v>4</v>
      </c>
      <c r="D12" s="50">
        <v>8</v>
      </c>
      <c r="E12" t="s">
        <v>51</v>
      </c>
      <c r="F12" t="s">
        <v>43</v>
      </c>
      <c r="I12" s="39">
        <v>2.2499999999999999E-2</v>
      </c>
      <c r="K12" s="11"/>
    </row>
    <row r="13" spans="2:11">
      <c r="B13" s="31" t="s">
        <v>5</v>
      </c>
      <c r="D13" s="50">
        <v>15</v>
      </c>
      <c r="E13" t="s">
        <v>51</v>
      </c>
      <c r="F13" t="s">
        <v>44</v>
      </c>
      <c r="I13" s="39">
        <v>3.2500000000000001E-2</v>
      </c>
      <c r="K13" s="11"/>
    </row>
    <row r="14" spans="2:11">
      <c r="B14" s="2" t="s">
        <v>48</v>
      </c>
      <c r="D14" s="50">
        <v>150</v>
      </c>
      <c r="E14" t="s">
        <v>51</v>
      </c>
      <c r="F14" t="s">
        <v>15</v>
      </c>
      <c r="I14" s="60">
        <v>0.5</v>
      </c>
      <c r="K14" s="11"/>
    </row>
    <row r="15" spans="2:11">
      <c r="B15" s="2" t="s">
        <v>47</v>
      </c>
      <c r="D15" s="50">
        <v>150</v>
      </c>
      <c r="E15" t="s">
        <v>51</v>
      </c>
      <c r="F15" t="s">
        <v>16</v>
      </c>
      <c r="I15" s="39">
        <v>0.25</v>
      </c>
      <c r="K15" s="11"/>
    </row>
    <row r="16" spans="2:11">
      <c r="B16" s="2"/>
      <c r="I16" s="9"/>
      <c r="K16" s="11"/>
    </row>
    <row r="17" spans="2:11">
      <c r="B17" s="3" t="s">
        <v>53</v>
      </c>
      <c r="F17" s="54">
        <v>10.723391899999999</v>
      </c>
      <c r="G17" s="63">
        <f>+F17*12</f>
        <v>128.68070280000001</v>
      </c>
      <c r="H17" t="s">
        <v>49</v>
      </c>
      <c r="I17" s="9"/>
      <c r="K17" s="11"/>
    </row>
    <row r="18" spans="2:11">
      <c r="B18" s="2"/>
      <c r="I18" s="9"/>
      <c r="K18" s="11"/>
    </row>
    <row r="19" spans="2:11">
      <c r="B19" s="2"/>
      <c r="I19" s="9"/>
      <c r="K19" s="11"/>
    </row>
    <row r="20" spans="2:11">
      <c r="B20" s="2"/>
      <c r="I20" s="9"/>
      <c r="K20" s="11"/>
    </row>
    <row r="21" spans="2:11">
      <c r="B21" s="2" t="s">
        <v>6</v>
      </c>
      <c r="G21" s="55">
        <f>ontvangsten!G62</f>
        <v>1078597.4531610066</v>
      </c>
      <c r="I21" s="9"/>
      <c r="K21" s="11"/>
    </row>
    <row r="22" spans="2:11">
      <c r="B22" s="2" t="s">
        <v>7</v>
      </c>
      <c r="G22" s="56">
        <f>ontvangsten!H62</f>
        <v>0</v>
      </c>
      <c r="I22" s="9"/>
      <c r="K22" s="11"/>
    </row>
    <row r="23" spans="2:11">
      <c r="B23" s="2" t="s">
        <v>8</v>
      </c>
      <c r="G23" s="56">
        <f>uitgaven!G65</f>
        <v>535229.81716125249</v>
      </c>
      <c r="I23" s="9"/>
      <c r="K23" s="11"/>
    </row>
    <row r="24" spans="2:11">
      <c r="B24" s="2" t="s">
        <v>9</v>
      </c>
      <c r="G24" s="56">
        <f>+uitgaven!H65</f>
        <v>57415.740272411851</v>
      </c>
      <c r="I24" s="9"/>
      <c r="K24" s="11"/>
    </row>
    <row r="25" spans="2:11">
      <c r="B25" s="2" t="s">
        <v>10</v>
      </c>
      <c r="G25" s="57">
        <v>500000</v>
      </c>
      <c r="I25" s="9"/>
      <c r="K25" s="11"/>
    </row>
    <row r="26" spans="2:11">
      <c r="B26" s="31" t="s">
        <v>11</v>
      </c>
      <c r="G26" s="58">
        <f>+ontvangsten!I62</f>
        <v>14048.101894667328</v>
      </c>
      <c r="I26" s="41"/>
      <c r="K26" s="11"/>
    </row>
    <row r="27" spans="2:11">
      <c r="B27" s="2"/>
      <c r="G27" s="11"/>
      <c r="I27" s="9"/>
      <c r="K27" s="11"/>
    </row>
    <row r="28" spans="2:11">
      <c r="B28" s="3" t="s">
        <v>12</v>
      </c>
      <c r="G28" s="59">
        <f>G21+G22-G23-G24-G25+G26</f>
        <v>-2.3779904440743849E-3</v>
      </c>
      <c r="I28" s="9"/>
      <c r="K28" s="11"/>
    </row>
    <row r="29" spans="2:11">
      <c r="B29" s="2"/>
      <c r="I29" s="9"/>
      <c r="K29" s="11"/>
    </row>
    <row r="30" spans="2:11">
      <c r="B30" s="68" t="s">
        <v>58</v>
      </c>
      <c r="C30" s="6"/>
      <c r="D30" s="6"/>
      <c r="E30" s="6"/>
      <c r="F30" s="6"/>
      <c r="G30" s="6"/>
      <c r="H30" s="6"/>
      <c r="I30" s="10"/>
      <c r="K30" s="11"/>
    </row>
    <row r="31" spans="2:11">
      <c r="K31" s="11"/>
    </row>
    <row r="32" spans="2:11">
      <c r="K32" s="11"/>
    </row>
    <row r="33" spans="2:11">
      <c r="B33" s="46">
        <f ca="1">NOW()</f>
        <v>42065.623182986114</v>
      </c>
      <c r="K33" s="11"/>
    </row>
    <row r="34" spans="2:11">
      <c r="K34" s="11"/>
    </row>
    <row r="35" spans="2:11">
      <c r="K35" s="11"/>
    </row>
    <row r="36" spans="2:11">
      <c r="K36" s="11"/>
    </row>
    <row r="37" spans="2:11">
      <c r="K37" s="11"/>
    </row>
    <row r="38" spans="2:11">
      <c r="K38" s="11"/>
    </row>
    <row r="39" spans="2:11">
      <c r="K39" s="11"/>
    </row>
    <row r="40" spans="2:11">
      <c r="K40" s="11"/>
    </row>
    <row r="41" spans="2:11">
      <c r="K41" s="11"/>
    </row>
    <row r="42" spans="2:11">
      <c r="K42" s="11"/>
    </row>
    <row r="43" spans="2:11">
      <c r="K43" s="11"/>
    </row>
    <row r="44" spans="2:11">
      <c r="K44" s="11"/>
    </row>
    <row r="45" spans="2:11">
      <c r="K45" s="11"/>
    </row>
    <row r="46" spans="2:11">
      <c r="K46" s="11"/>
    </row>
    <row r="47" spans="2:11">
      <c r="K47" s="11"/>
    </row>
    <row r="48" spans="2:11">
      <c r="K48" s="11"/>
    </row>
    <row r="49" spans="11:11">
      <c r="K49" s="11"/>
    </row>
  </sheetData>
  <phoneticPr fontId="8" type="noConversion"/>
  <pageMargins left="1.1875" right="0.4" top="0.83333333333333337" bottom="0.83333333333333337" header="0.33333333333333337" footer="0.33333333333333337"/>
  <pageSetup paperSize="9" scale="80" orientation="portrait" horizontalDpi="300" verticalDpi="300" r:id="rId1"/>
  <headerFooter alignWithMargins="0">
    <oddFooter>&amp;L&amp;"Arial"&amp;10 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B1:K66"/>
  <sheetViews>
    <sheetView showOutlineSymbols="0" zoomScale="90" zoomScaleNormal="90" workbookViewId="0">
      <selection activeCell="B5" sqref="B5"/>
    </sheetView>
  </sheetViews>
  <sheetFormatPr defaultRowHeight="13.2"/>
  <cols>
    <col min="3" max="3" width="14.88671875" style="11" customWidth="1"/>
    <col min="4" max="4" width="12.88671875" style="11" customWidth="1"/>
    <col min="5" max="5" width="11.5546875" style="15" customWidth="1"/>
    <col min="6" max="6" width="9.33203125" style="11" customWidth="1"/>
    <col min="7" max="7" width="16.44140625" style="11" customWidth="1"/>
    <col min="8" max="8" width="16.5546875" style="11" customWidth="1"/>
    <col min="9" max="9" width="15.6640625" style="11" customWidth="1"/>
  </cols>
  <sheetData>
    <row r="1" spans="2:11" ht="17.399999999999999">
      <c r="B1" s="16"/>
      <c r="C1" s="17"/>
      <c r="D1" s="44"/>
      <c r="E1" s="44"/>
      <c r="F1" s="18" t="s">
        <v>21</v>
      </c>
      <c r="G1" s="17"/>
      <c r="H1" s="17"/>
      <c r="I1" s="53"/>
    </row>
    <row r="2" spans="2:11">
      <c r="B2" s="2"/>
      <c r="I2" s="53"/>
    </row>
    <row r="3" spans="2:11">
      <c r="B3" s="2" t="s">
        <v>53</v>
      </c>
      <c r="I3" s="28">
        <f>overzicht!F17</f>
        <v>10.723391899999999</v>
      </c>
    </row>
    <row r="4" spans="2:11">
      <c r="B4" s="2" t="s">
        <v>54</v>
      </c>
      <c r="I4" s="29">
        <f>I3*12</f>
        <v>128.68070280000001</v>
      </c>
    </row>
    <row r="5" spans="2:11">
      <c r="B5" s="64" t="s">
        <v>56</v>
      </c>
      <c r="I5" s="35">
        <f>I4*overzicht!D9</f>
        <v>51472.28112</v>
      </c>
    </row>
    <row r="6" spans="2:11">
      <c r="B6" s="21"/>
      <c r="C6" s="22"/>
      <c r="D6" s="22"/>
      <c r="E6" s="22"/>
      <c r="F6" s="22"/>
      <c r="G6" s="22"/>
      <c r="H6" s="22"/>
      <c r="I6" s="14"/>
    </row>
    <row r="7" spans="2:11">
      <c r="B7" s="2"/>
      <c r="I7" s="13"/>
    </row>
    <row r="8" spans="2:11">
      <c r="B8" s="27" t="s">
        <v>17</v>
      </c>
      <c r="C8" s="24" t="s">
        <v>18</v>
      </c>
      <c r="D8" s="26" t="s">
        <v>19</v>
      </c>
      <c r="E8" s="45" t="s">
        <v>20</v>
      </c>
      <c r="F8" s="24" t="s">
        <v>22</v>
      </c>
      <c r="G8" s="24" t="s">
        <v>23</v>
      </c>
      <c r="H8" s="24" t="s">
        <v>23</v>
      </c>
      <c r="I8" s="25" t="s">
        <v>26</v>
      </c>
    </row>
    <row r="9" spans="2:11">
      <c r="B9" s="27">
        <f>overzicht!D10+overzicht!D11-1</f>
        <v>2052</v>
      </c>
      <c r="C9" s="24"/>
      <c r="D9" s="26"/>
      <c r="E9" s="45"/>
      <c r="F9" s="24"/>
      <c r="G9" s="24" t="s">
        <v>24</v>
      </c>
      <c r="H9" s="24" t="s">
        <v>25</v>
      </c>
      <c r="I9" s="25" t="s">
        <v>27</v>
      </c>
    </row>
    <row r="10" spans="2:11">
      <c r="B10" s="2"/>
      <c r="I10" s="13"/>
    </row>
    <row r="11" spans="2:11">
      <c r="B11" s="2">
        <f>overzicht!D10</f>
        <v>2013</v>
      </c>
      <c r="C11" s="51">
        <f>I5</f>
        <v>51472.28112</v>
      </c>
      <c r="D11" s="15">
        <f>IF(overzicht!$D$15&lt;=(overzicht!$D$10+(overzicht!$D$11-1)),IF(overzicht!$D$15=+B11,(overzicht!$D$9*overzicht!#REF!),0),0)</f>
        <v>0</v>
      </c>
      <c r="E11" s="15">
        <f>IF((overzicht!$D$10+(overzicht!$D$11-1))=+B11,(+overzicht!$D$9*overzicht!$D$14),0)</f>
        <v>0</v>
      </c>
      <c r="F11" s="11">
        <f>1/2</f>
        <v>0.5</v>
      </c>
      <c r="G11" s="11">
        <f>C11/(1+overzicht!$I$11)^F11</f>
        <v>49994.298955134727</v>
      </c>
      <c r="H11" s="11">
        <f>D11/(1+overzicht!$I$11)^F11</f>
        <v>0</v>
      </c>
      <c r="I11" s="13">
        <f>E11/(1+overzicht!$I$11)^(overzicht!$D$11)</f>
        <v>0</v>
      </c>
      <c r="K11" s="11"/>
    </row>
    <row r="12" spans="2:11">
      <c r="B12" s="2">
        <f t="shared" ref="B12:B43" si="0">B11+1</f>
        <v>2014</v>
      </c>
      <c r="C12" s="51">
        <f>IF($B$9&gt;=B12,+C11*(1+overzicht!I8),0)</f>
        <v>52630.407445199999</v>
      </c>
      <c r="D12" s="15">
        <f>IF(overzicht!$D$15&lt;=(overzicht!$D$10+(overzicht!$D$11-1)),IF(overzicht!$D$15=+B12,(overzicht!$D$9*overzicht!#REF!),0),0)</f>
        <v>0</v>
      </c>
      <c r="E12" s="15">
        <f>IF((overzicht!$D$10+(overzicht!$D$11-1))=+B12,(+overzicht!$D$9*overzicht!$D$14),0)</f>
        <v>0</v>
      </c>
      <c r="F12" s="11">
        <f t="shared" ref="F12:F43" si="1">F11+1</f>
        <v>1.5</v>
      </c>
      <c r="G12" s="11">
        <f>C12/(1+overzicht!$I$11)^F12</f>
        <v>48225.632718514389</v>
      </c>
      <c r="H12" s="11">
        <f>D12/(1+overzicht!$I$11)^F12</f>
        <v>0</v>
      </c>
      <c r="I12" s="13">
        <f>E12*(1+overzicht!$I$10)^F12/(1+overzicht!$I$11)^overzicht!$D$11</f>
        <v>0</v>
      </c>
      <c r="K12">
        <v>1</v>
      </c>
    </row>
    <row r="13" spans="2:11">
      <c r="B13" s="2">
        <f t="shared" si="0"/>
        <v>2015</v>
      </c>
      <c r="C13" s="51">
        <f>IF($B$9&gt;=B13,+C12*(1+overzicht!I8),0)</f>
        <v>53814.591612716998</v>
      </c>
      <c r="D13" s="15">
        <f>IF(overzicht!$D$15&lt;=(overzicht!$D$10+(overzicht!$D$11-1)),IF(overzicht!$D$15=+B13,(overzicht!$D$9*overzicht!#REF!),0),0)</f>
        <v>0</v>
      </c>
      <c r="E13" s="15">
        <f>IF((overzicht!$D$10+(overzicht!$D$11-1))=+B13,(+overzicht!$D$9*overzicht!$D$14),0)</f>
        <v>0</v>
      </c>
      <c r="F13" s="11">
        <f t="shared" si="1"/>
        <v>2.5</v>
      </c>
      <c r="G13" s="11">
        <f>C13/(1+overzicht!$I$11)^F13</f>
        <v>46519.537221397128</v>
      </c>
      <c r="H13" s="11">
        <f>D13/(1+overzicht!$I$11)^F13</f>
        <v>0</v>
      </c>
      <c r="I13" s="13">
        <f>E13*(1+overzicht!$I$10)^F13/(1+overzicht!$I$11)^overzicht!$D$11</f>
        <v>0</v>
      </c>
      <c r="K13">
        <v>2</v>
      </c>
    </row>
    <row r="14" spans="2:11">
      <c r="B14" s="2">
        <f t="shared" si="0"/>
        <v>2016</v>
      </c>
      <c r="C14" s="51">
        <f>IF($B$9&gt;=B14,+C13*(1+overzicht!$I$8),0)</f>
        <v>55025.41992400313</v>
      </c>
      <c r="D14" s="15">
        <f>IF(overzicht!$D$15&lt;=(overzicht!$D$10+(overzicht!$D$11-1)),IF(overzicht!$D$15=+B14,(overzicht!$D$9*overzicht!#REF!),0),0)</f>
        <v>0</v>
      </c>
      <c r="E14" s="15">
        <f>IF((overzicht!$D$10+(overzicht!$D$11-1))=+B14,(+overzicht!$D$9*overzicht!$D$14),0)</f>
        <v>0</v>
      </c>
      <c r="F14" s="11">
        <f t="shared" si="1"/>
        <v>3.5</v>
      </c>
      <c r="G14" s="11">
        <f>C14/(1+overzicht!$I$11)^F14</f>
        <v>44873.798876300534</v>
      </c>
      <c r="H14" s="11">
        <f>D14/(1+overzicht!$I$11)^F14</f>
        <v>0</v>
      </c>
      <c r="I14" s="13">
        <f>E14*(1+overzicht!$I$10)^F14/(1+overzicht!$I$11)^overzicht!$D$11</f>
        <v>0</v>
      </c>
      <c r="K14">
        <v>3</v>
      </c>
    </row>
    <row r="15" spans="2:11">
      <c r="B15" s="2">
        <f t="shared" si="0"/>
        <v>2017</v>
      </c>
      <c r="C15" s="51">
        <f>IF($B$9&gt;=B15,+C14*(1+overzicht!$I$8),0)</f>
        <v>56263.491872293198</v>
      </c>
      <c r="D15" s="15">
        <f>IF(overzicht!$D$15&lt;=(overzicht!$D$10+(overzicht!$D$11-1)),IF(overzicht!$D$15=+B15,(overzicht!$D$9*overzicht!#REF!),0),0)</f>
        <v>0</v>
      </c>
      <c r="E15" s="15">
        <f>IF((overzicht!$D$10+(overzicht!$D$11-1))=+B15,(+overzicht!$D$9*overzicht!$D$14),0)</f>
        <v>0</v>
      </c>
      <c r="F15" s="11">
        <f t="shared" si="1"/>
        <v>4.5</v>
      </c>
      <c r="G15" s="11">
        <f>C15/(1+overzicht!$I$11)^F15</f>
        <v>43286.282406620085</v>
      </c>
      <c r="H15" s="11">
        <f>D15/(1+overzicht!$I$11)^F15</f>
        <v>0</v>
      </c>
      <c r="I15" s="13">
        <f>E15*(1+overzicht!$I$10)^F15/(1+overzicht!$I$11)^overzicht!$D$11</f>
        <v>0</v>
      </c>
      <c r="K15">
        <v>4</v>
      </c>
    </row>
    <row r="16" spans="2:11">
      <c r="B16" s="2">
        <f t="shared" si="0"/>
        <v>2018</v>
      </c>
      <c r="C16" s="51">
        <f>IF($B$9&gt;=B16,+C15*(1+overzicht!$I$9),0)</f>
        <v>57529.420439419795</v>
      </c>
      <c r="D16" s="15">
        <f>IF(overzicht!$D$15&lt;=(overzicht!$D$10+(overzicht!$D$11-1)),IF(overzicht!$D$15=+B16,(overzicht!$D$9*overzicht!#REF!),0),0)</f>
        <v>0</v>
      </c>
      <c r="E16" s="15">
        <f>IF((overzicht!$D$10+(overzicht!$D$11-1))=+B16,(+overzicht!$D$9*overzicht!$D$14),0)</f>
        <v>0</v>
      </c>
      <c r="F16" s="11">
        <f t="shared" si="1"/>
        <v>5.5</v>
      </c>
      <c r="G16" s="11">
        <f>C16/(1+overzicht!$I$11)^F16</f>
        <v>41754.928076197204</v>
      </c>
      <c r="H16" s="11">
        <f>D16/(1+overzicht!$I$11)^F16</f>
        <v>0</v>
      </c>
      <c r="I16" s="13">
        <f>E16*(1+overzicht!$I$10)^F16/(1+overzicht!$I$11)^overzicht!$D$11</f>
        <v>0</v>
      </c>
      <c r="K16">
        <v>5</v>
      </c>
    </row>
    <row r="17" spans="2:11">
      <c r="B17" s="2">
        <f t="shared" si="0"/>
        <v>2019</v>
      </c>
      <c r="C17" s="51">
        <f>IF($B$9&gt;=B17,+C16*(1+overzicht!$I$9),0)</f>
        <v>58823.832399306739</v>
      </c>
      <c r="D17" s="15">
        <f>IF(overzicht!$D$15&lt;=(overzicht!$D$10+(overzicht!$D$11-1)),IF(overzicht!$D$15=+B17,(overzicht!$D$9*overzicht!#REF!),0),0)</f>
        <v>0</v>
      </c>
      <c r="E17" s="15">
        <f>IF((overzicht!$D$10+(overzicht!$D$11-1))=+B17,(+overzicht!$D$9*overzicht!$D$14),0)</f>
        <v>0</v>
      </c>
      <c r="F17" s="11">
        <f t="shared" si="1"/>
        <v>6.5</v>
      </c>
      <c r="G17" s="11">
        <f>C17/(1+overzicht!$I$11)^F17</f>
        <v>40277.749016897775</v>
      </c>
      <c r="H17" s="11">
        <f>D17/(1+overzicht!$I$11)^F17</f>
        <v>0</v>
      </c>
      <c r="I17" s="13">
        <f>E17*(1+overzicht!$I$10)^F17/(1+overzicht!$I$11)^overzicht!$D$11</f>
        <v>0</v>
      </c>
      <c r="K17">
        <v>6</v>
      </c>
    </row>
    <row r="18" spans="2:11">
      <c r="B18" s="2">
        <f t="shared" si="0"/>
        <v>2020</v>
      </c>
      <c r="C18" s="51">
        <f>IF($B$9&gt;=B18,+C17*(1+overzicht!$I$9),0)</f>
        <v>60147.368628291137</v>
      </c>
      <c r="D18" s="15">
        <f>IF(overzicht!$D$15&lt;=(overzicht!$D$10+(overzicht!$D$11-1)),IF(overzicht!$D$15=+B18,(overzicht!$D$9*overzicht!#REF!),0),0)</f>
        <v>0</v>
      </c>
      <c r="E18" s="15">
        <f>IF((overzicht!$D$10+(overzicht!$D$11-1))=+B18,(+overzicht!$D$9*overzicht!$D$14),0)</f>
        <v>0</v>
      </c>
      <c r="F18" s="11">
        <f t="shared" si="1"/>
        <v>7.5</v>
      </c>
      <c r="G18" s="11">
        <f>C18/(1+overzicht!$I$11)^F18</f>
        <v>38852.828650733929</v>
      </c>
      <c r="H18" s="11">
        <f>D18/(1+overzicht!$I$11)^F18</f>
        <v>0</v>
      </c>
      <c r="I18" s="13">
        <f>E18*(1+overzicht!$I$10)^F18/(1+overzicht!$I$11)^overzicht!$D$11</f>
        <v>0</v>
      </c>
      <c r="K18">
        <v>7</v>
      </c>
    </row>
    <row r="19" spans="2:11">
      <c r="B19" s="2">
        <f t="shared" si="0"/>
        <v>2021</v>
      </c>
      <c r="C19" s="51">
        <f>IF($B$9&gt;=B19,+C18*(1+overzicht!$I$9),0)</f>
        <v>61500.684422427687</v>
      </c>
      <c r="D19" s="15">
        <f>IF(overzicht!$D$15&lt;=(overzicht!$D$10+(overzicht!$D$11-1)),IF(overzicht!$D$15=+B19,(overzicht!$D$9*overzicht!#REF!),0),0)</f>
        <v>0</v>
      </c>
      <c r="E19" s="15">
        <f>IF((overzicht!$D$10+(overzicht!$D$11-1))=+B19,(+overzicht!$D$9*overzicht!$D$14),0)</f>
        <v>0</v>
      </c>
      <c r="F19" s="11">
        <f t="shared" si="1"/>
        <v>8.5</v>
      </c>
      <c r="G19" s="11">
        <f>C19/(1+overzicht!$I$11)^F19</f>
        <v>37478.318203184375</v>
      </c>
      <c r="H19" s="11">
        <f>D19/(1+overzicht!$I$11)^F19</f>
        <v>0</v>
      </c>
      <c r="I19" s="13">
        <f>E19*(1+overzicht!$I$10)^F19/(1+overzicht!$I$11)^overzicht!$D$11</f>
        <v>0</v>
      </c>
      <c r="K19">
        <v>8</v>
      </c>
    </row>
    <row r="20" spans="2:11">
      <c r="B20" s="2">
        <f t="shared" si="0"/>
        <v>2022</v>
      </c>
      <c r="C20" s="51">
        <f>IF($B$9&gt;=B20,+C19*(1+overzicht!$I$9),0)</f>
        <v>62884.449821932307</v>
      </c>
      <c r="D20" s="15">
        <f>IF(overzicht!$D$15&lt;=(overzicht!$D$10+(overzicht!$D$11-1)),IF(overzicht!$D$15=+B20,(overzicht!$D$9*overzicht!#REF!),0),0)</f>
        <v>0</v>
      </c>
      <c r="E20" s="15">
        <f>IF((overzicht!$D$10+(overzicht!$D$11-1))=+B20,(+overzicht!$D$9*overzicht!$D$14),0)</f>
        <v>0</v>
      </c>
      <c r="F20" s="11">
        <f t="shared" si="1"/>
        <v>9.5</v>
      </c>
      <c r="G20" s="11">
        <f>C20/(1+overzicht!$I$11)^F20</f>
        <v>36152.434304486815</v>
      </c>
      <c r="H20" s="11">
        <f>D20/(1+overzicht!$I$11)^F20</f>
        <v>0</v>
      </c>
      <c r="I20" s="13">
        <f>E20*(1+overzicht!$I$10)^F20/(1+overzicht!$I$11)^overzicht!$D$11</f>
        <v>0</v>
      </c>
      <c r="K20">
        <v>9</v>
      </c>
    </row>
    <row r="21" spans="2:11">
      <c r="B21" s="2">
        <f t="shared" si="0"/>
        <v>2023</v>
      </c>
      <c r="C21" s="51">
        <f>IF($B$9&gt;=B21,+C20*(1+overzicht!$I$9),0)</f>
        <v>64299.349942925779</v>
      </c>
      <c r="D21" s="15">
        <f>IF(overzicht!$D$15&lt;=(overzicht!$D$10+(overzicht!$D$11-1)),IF(overzicht!$D$15=+B21,(overzicht!$D$9*overzicht!#REF!),0),0)</f>
        <v>0</v>
      </c>
      <c r="E21" s="15">
        <f>IF((overzicht!$D$10+(overzicht!$D$11-1))=+B21,(+overzicht!$D$9*overzicht!$D$14),0)</f>
        <v>0</v>
      </c>
      <c r="F21" s="11">
        <f t="shared" si="1"/>
        <v>10.5</v>
      </c>
      <c r="G21" s="11">
        <f>C21/(1+overzicht!$I$11)^F21</f>
        <v>34873.456675790345</v>
      </c>
      <c r="H21" s="11">
        <f>D21/(1+overzicht!$I$11)^F21</f>
        <v>0</v>
      </c>
      <c r="I21" s="13">
        <f>E21*(1+overzicht!$I$10)^F21/(1+overzicht!$I$11)^overzicht!$D$11</f>
        <v>0</v>
      </c>
      <c r="K21">
        <v>10</v>
      </c>
    </row>
    <row r="22" spans="2:11">
      <c r="B22" s="2">
        <f t="shared" si="0"/>
        <v>2024</v>
      </c>
      <c r="C22" s="51">
        <f>IF($B$9&gt;=B22,+C21*(1+overzicht!$I$9),0)</f>
        <v>65746.085316641605</v>
      </c>
      <c r="D22" s="15">
        <f>IF(overzicht!$D$15&lt;=(overzicht!$D$10+(overzicht!$D$11-1)),IF(overzicht!$D$15=+B22,(overzicht!$D$9*overzicht!#REF!),0),0)</f>
        <v>0</v>
      </c>
      <c r="E22" s="15">
        <f>IF((overzicht!$D$10+(overzicht!$D$11-1))=+B22,(+overzicht!$D$9*overzicht!$D$14),0)</f>
        <v>0</v>
      </c>
      <c r="F22" s="11">
        <f t="shared" si="1"/>
        <v>11.5</v>
      </c>
      <c r="G22" s="11">
        <f>C22/(1+overzicht!$I$11)^F22</f>
        <v>33639.725897165685</v>
      </c>
      <c r="H22" s="11">
        <f>D22/(1+overzicht!$I$11)^F22</f>
        <v>0</v>
      </c>
      <c r="I22" s="13">
        <f>E22*(1+overzicht!$I$10)^F22/(1+overzicht!$I$11)^overzicht!$D$11</f>
        <v>0</v>
      </c>
      <c r="K22">
        <v>11</v>
      </c>
    </row>
    <row r="23" spans="2:11">
      <c r="B23" s="2">
        <f t="shared" si="0"/>
        <v>2025</v>
      </c>
      <c r="C23" s="51">
        <f>IF($B$9&gt;=B23,+C22*(1+overzicht!$I$9),0)</f>
        <v>67225.372236266034</v>
      </c>
      <c r="D23" s="15">
        <f>IF(overzicht!$D$15&lt;=(overzicht!$D$10+(overzicht!$D$11-1)),IF(overzicht!$D$15=+B23,(overzicht!$D$9*overzicht!#REF!),0),0)</f>
        <v>0</v>
      </c>
      <c r="E23" s="15">
        <f>IF((overzicht!$D$10+(overzicht!$D$11-1))=+B23,(+overzicht!$D$9*overzicht!$D$14),0)</f>
        <v>0</v>
      </c>
      <c r="F23" s="11">
        <f t="shared" si="1"/>
        <v>12.5</v>
      </c>
      <c r="G23" s="11">
        <f>C23/(1+overzicht!$I$11)^F23</f>
        <v>32449.641254577265</v>
      </c>
      <c r="H23" s="11">
        <f>D23/(1+overzicht!$I$11)^F23</f>
        <v>0</v>
      </c>
      <c r="I23" s="13">
        <f>E23*(1+overzicht!$I$10)^F23/(1+overzicht!$I$11)^overzicht!$D$11</f>
        <v>0</v>
      </c>
      <c r="K23">
        <v>12</v>
      </c>
    </row>
    <row r="24" spans="2:11">
      <c r="B24" s="2">
        <f t="shared" si="0"/>
        <v>2026</v>
      </c>
      <c r="C24" s="51">
        <f>IF($B$9&gt;=B24,+C23*(1+overzicht!$I$9),0)</f>
        <v>68737.943111582019</v>
      </c>
      <c r="D24" s="15">
        <f>IF(overzicht!$D$15&lt;=(overzicht!$D$10+(overzicht!$D$11-1)),IF(overzicht!$D$15=+B24,(overzicht!$D$9*overzicht!#REF!),0),0)</f>
        <v>0</v>
      </c>
      <c r="E24" s="15">
        <f>IF((overzicht!$D$10+(overzicht!$D$11-1))=+B24,(+overzicht!$D$9*overzicht!$D$14),0)</f>
        <v>0</v>
      </c>
      <c r="F24" s="11">
        <f t="shared" si="1"/>
        <v>13.5</v>
      </c>
      <c r="G24" s="11">
        <f>C24/(1+overzicht!$I$11)^F24</f>
        <v>31301.658663023823</v>
      </c>
      <c r="H24" s="11">
        <f>D24/(1+overzicht!$I$11)^F24</f>
        <v>0</v>
      </c>
      <c r="I24" s="13">
        <f>E24*(1+overzicht!$I$10)^F24/(1+overzicht!$I$11)^overzicht!$D$11</f>
        <v>0</v>
      </c>
      <c r="K24">
        <v>13</v>
      </c>
    </row>
    <row r="25" spans="2:11">
      <c r="B25" s="2">
        <f t="shared" si="0"/>
        <v>2027</v>
      </c>
      <c r="C25" s="51">
        <f>IF($B$9&gt;=B25,+C24*(1+overzicht!$I$9),0)</f>
        <v>70284.546831592612</v>
      </c>
      <c r="D25" s="15">
        <f>IF(overzicht!$D$15&lt;=(overzicht!$D$10+(overzicht!$D$11-1)),IF(overzicht!$D$15=+B25,(overzicht!$D$9*overzicht!#REF!),0),0)</f>
        <v>0</v>
      </c>
      <c r="E25" s="15">
        <f>IF((overzicht!$D$10+(overzicht!$D$11-1))=+B25,(+overzicht!$D$9*overzicht!$D$14),0)</f>
        <v>0</v>
      </c>
      <c r="F25" s="11">
        <f t="shared" si="1"/>
        <v>14.5</v>
      </c>
      <c r="G25" s="11">
        <f>C25/(1+overzicht!$I$11)^F25</f>
        <v>30194.2886631527</v>
      </c>
      <c r="H25" s="11">
        <f>D25/(1+overzicht!$I$11)^F25</f>
        <v>0</v>
      </c>
      <c r="I25" s="13">
        <f>E25*(1+overzicht!$I$10)^F25/(1+overzicht!$I$11)^overzicht!$D$11</f>
        <v>0</v>
      </c>
      <c r="K25">
        <v>14</v>
      </c>
    </row>
    <row r="26" spans="2:11">
      <c r="B26" s="2">
        <f t="shared" si="0"/>
        <v>2028</v>
      </c>
      <c r="C26" s="51">
        <f>IF($B$9&gt;=B26,+C25*(1+overzicht!$I$9),0)</f>
        <v>71865.949135303439</v>
      </c>
      <c r="D26" s="15">
        <f>IF(overzicht!$D$15&lt;=(overzicht!$D$10+(overzicht!$D$11-1)),IF(overzicht!$D$15=+B26,(overzicht!$D$9*overzicht!#REF!),0),0)</f>
        <v>0</v>
      </c>
      <c r="E26" s="15">
        <f>IF((overzicht!$D$10+(overzicht!$D$11-1))=+B26,(+overzicht!$D$9*overzicht!$D$14),0)</f>
        <v>0</v>
      </c>
      <c r="F26" s="11">
        <f t="shared" si="1"/>
        <v>15.5</v>
      </c>
      <c r="G26" s="11">
        <f>C26/(1+overzicht!$I$11)^F26</f>
        <v>29126.094488748706</v>
      </c>
      <c r="H26" s="11">
        <f>D26/(1+overzicht!$I$11)^F26</f>
        <v>0</v>
      </c>
      <c r="I26" s="13">
        <f>E26*(1+overzicht!$I$10)^F26/(1+overzicht!$I$11)^overzicht!$D$11</f>
        <v>0</v>
      </c>
      <c r="K26">
        <v>15</v>
      </c>
    </row>
    <row r="27" spans="2:11">
      <c r="B27" s="2">
        <f t="shared" si="0"/>
        <v>2029</v>
      </c>
      <c r="C27" s="51">
        <f>IF($B$9&gt;=B27,+C26*(1+overzicht!$I$9),0)</f>
        <v>73482.932990847767</v>
      </c>
      <c r="D27" s="15">
        <f>IF(overzicht!$D$15&lt;=(overzicht!$D$10+(overzicht!$D$11-1)),IF(overzicht!$D$15=+B27,(overzicht!$D$9*overzicht!#REF!),0),0)</f>
        <v>0</v>
      </c>
      <c r="E27" s="15">
        <f>IF((overzicht!$D$10+(overzicht!$D$11-1))=+B27,(+overzicht!$D$9*overzicht!$D$14),0)</f>
        <v>0</v>
      </c>
      <c r="F27" s="11">
        <f t="shared" si="1"/>
        <v>16.5</v>
      </c>
      <c r="G27" s="11">
        <f>C27/(1+overzicht!$I$11)^F27</f>
        <v>28095.690202590144</v>
      </c>
      <c r="H27" s="11">
        <f>D27/(1+overzicht!$I$11)^F27</f>
        <v>0</v>
      </c>
      <c r="I27" s="13">
        <f>E27*(1+overzicht!$I$10)^F27/(1+overzicht!$I$11)^overzicht!$D$11</f>
        <v>0</v>
      </c>
      <c r="K27">
        <v>16</v>
      </c>
    </row>
    <row r="28" spans="2:11">
      <c r="B28" s="2">
        <f t="shared" si="0"/>
        <v>2030</v>
      </c>
      <c r="C28" s="51">
        <f>IF($B$9&gt;=B28,+C27*(1+overzicht!$I$9),0)</f>
        <v>75136.298983141838</v>
      </c>
      <c r="D28" s="15">
        <f>IF(overzicht!$D$15&lt;=(overzicht!$D$10+(overzicht!$D$11-1)),IF(overzicht!$D$15=+B28,(overzicht!$D$9*overzicht!#REF!),0),0)</f>
        <v>0</v>
      </c>
      <c r="E28" s="15">
        <f>IF((overzicht!$D$10+(overzicht!$D$11-1))=+B28,(+overzicht!$D$9*overzicht!$D$14),0)</f>
        <v>0</v>
      </c>
      <c r="F28" s="11">
        <f t="shared" si="1"/>
        <v>17.5</v>
      </c>
      <c r="G28" s="11">
        <f>C28/(1+overzicht!$I$11)^F28</f>
        <v>27101.738898253221</v>
      </c>
      <c r="H28" s="11">
        <f>D28/(1+overzicht!$I$11)^F28</f>
        <v>0</v>
      </c>
      <c r="I28" s="13">
        <f>E28*(1+overzicht!$I$10)^F28/(1+overzicht!$I$11)^overzicht!$D$11</f>
        <v>0</v>
      </c>
      <c r="K28">
        <v>17</v>
      </c>
    </row>
    <row r="29" spans="2:11">
      <c r="B29" s="2">
        <f t="shared" si="0"/>
        <v>2031</v>
      </c>
      <c r="C29" s="51">
        <f>IF($B$9&gt;=B29,+C28*(1+overzicht!$I$9),0)</f>
        <v>76826.865710262529</v>
      </c>
      <c r="D29" s="15">
        <f>IF(overzicht!$D$15&lt;=(overzicht!$D$10+(overzicht!$D$11-1)),IF(overzicht!$D$15=+B29,(overzicht!$D$9*overzicht!#REF!),0),0)</f>
        <v>0</v>
      </c>
      <c r="E29" s="15">
        <f>IF((overzicht!$D$10+(overzicht!$D$11-1))=+B29,(+overzicht!$D$9*overzicht!$D$14),0)</f>
        <v>0</v>
      </c>
      <c r="F29" s="11">
        <f t="shared" si="1"/>
        <v>18.5</v>
      </c>
      <c r="G29" s="11">
        <f>C29/(1+overzicht!$I$11)^F29</f>
        <v>26142.950965532</v>
      </c>
      <c r="H29" s="11">
        <f>D29/(1+overzicht!$I$11)^F29</f>
        <v>0</v>
      </c>
      <c r="I29" s="13">
        <f>E29*(1+overzicht!$I$10)^F29/(1+overzicht!$I$11)^overzicht!$D$11</f>
        <v>0</v>
      </c>
      <c r="K29">
        <v>18</v>
      </c>
    </row>
    <row r="30" spans="2:11">
      <c r="B30" s="2">
        <f t="shared" si="0"/>
        <v>2032</v>
      </c>
      <c r="C30" s="51">
        <f>IF($B$9&gt;=B30,+C29*(1+overzicht!$I$9),0)</f>
        <v>78555.470188743435</v>
      </c>
      <c r="D30" s="15">
        <f>IF(overzicht!$D$15&lt;=(overzicht!$D$10+(overzicht!$D$11-1)),IF(overzicht!$D$15=+B30,(overzicht!$D$9*overzicht!#REF!),0),0)</f>
        <v>0</v>
      </c>
      <c r="E30" s="15">
        <f>IF((overzicht!$D$10+(overzicht!$D$11-1))=+B30,(+overzicht!$D$9*overzicht!$D$14),0)</f>
        <v>0</v>
      </c>
      <c r="F30" s="11">
        <f t="shared" si="1"/>
        <v>19.5</v>
      </c>
      <c r="G30" s="11">
        <f>C30/(1+overzicht!$I$11)^F30</f>
        <v>25218.082417223082</v>
      </c>
      <c r="H30" s="11">
        <f>D30/(1+overzicht!$I$11)^F30</f>
        <v>0</v>
      </c>
      <c r="I30" s="13">
        <f>E30*(1+overzicht!$I$10)^F30/(1+overzicht!$I$11)^overzicht!$D$11</f>
        <v>0</v>
      </c>
      <c r="K30">
        <v>19</v>
      </c>
    </row>
    <row r="31" spans="2:11">
      <c r="B31" s="2">
        <f t="shared" si="0"/>
        <v>2033</v>
      </c>
      <c r="C31" s="51">
        <f>IF($B$9&gt;=B31,+C30*(1+overzicht!$I$9),0)</f>
        <v>80322.96826799016</v>
      </c>
      <c r="D31" s="15">
        <f>IF(overzicht!$D$15&lt;=(overzicht!$D$10+(overzicht!$D$11-1)),IF(overzicht!$D$15=+B31,(overzicht!$D$9*overzicht!#REF!),0),0)</f>
        <v>0</v>
      </c>
      <c r="E31" s="15">
        <f>IF((overzicht!$D$10+(overzicht!$D$11-1))=+B31,(+overzicht!$D$9*overzicht!$D$14),0)</f>
        <v>0</v>
      </c>
      <c r="F31" s="11">
        <f t="shared" si="1"/>
        <v>20.5</v>
      </c>
      <c r="G31" s="11">
        <f>C31/(1+overzicht!$I$11)^F31</f>
        <v>24325.93327510434</v>
      </c>
      <c r="H31" s="11">
        <f>D31/(1+overzicht!$I$11)^F31</f>
        <v>0</v>
      </c>
      <c r="I31" s="13">
        <f>E31*(1+overzicht!$I$10)^F31/(1+overzicht!$I$11)^overzicht!$D$11</f>
        <v>0</v>
      </c>
      <c r="K31">
        <v>20</v>
      </c>
    </row>
    <row r="32" spans="2:11">
      <c r="B32" s="2">
        <f t="shared" si="0"/>
        <v>2034</v>
      </c>
      <c r="C32" s="51">
        <f>IF($B$9&gt;=B32,+C31*(1+overzicht!$I$9),0)</f>
        <v>82130.23505401994</v>
      </c>
      <c r="D32" s="15">
        <f>IF(overzicht!$D$15&lt;=(overzicht!$D$10+(overzicht!$D$11-1)),IF(overzicht!$D$15=+B32,(overzicht!$D$9*overzicht!#REF!),0),0)</f>
        <v>0</v>
      </c>
      <c r="E32" s="15">
        <f>IF((overzicht!$D$10+(overzicht!$D$11-1))=+B32,(+overzicht!$D$9*overzicht!$D$14),0)</f>
        <v>0</v>
      </c>
      <c r="F32" s="11">
        <f t="shared" si="1"/>
        <v>21.5</v>
      </c>
      <c r="G32" s="11">
        <f>C32/(1+overzicht!$I$11)^F32</f>
        <v>23465.346013013383</v>
      </c>
      <c r="H32" s="11">
        <f>D32/(1+overzicht!$I$11)^F32</f>
        <v>0</v>
      </c>
      <c r="I32" s="13">
        <f>E32*(1+overzicht!$I$10)^F32/(1+overzicht!$I$11)^overzicht!$D$11</f>
        <v>0</v>
      </c>
      <c r="K32">
        <v>21</v>
      </c>
    </row>
    <row r="33" spans="2:11">
      <c r="B33" s="2">
        <f t="shared" si="0"/>
        <v>2035</v>
      </c>
      <c r="C33" s="51">
        <f>IF($B$9&gt;=B33,+C32*(1+overzicht!$I$9),0)</f>
        <v>83978.165342735389</v>
      </c>
      <c r="D33" s="15">
        <f>IF(overzicht!$D$15&lt;=(overzicht!$D$10+(overzicht!$D$11-1)),IF(overzicht!$D$15=+B33,(overzicht!$D$9*overzicht!#REF!),0),0)</f>
        <v>0</v>
      </c>
      <c r="E33" s="15">
        <f>IF((overzicht!$D$10+(overzicht!$D$11-1))=+B33,(+overzicht!$D$9*overzicht!$D$14),0)</f>
        <v>0</v>
      </c>
      <c r="F33" s="11">
        <f t="shared" si="1"/>
        <v>22.5</v>
      </c>
      <c r="G33" s="11">
        <f>C33/(1+overzicht!$I$11)^F33</f>
        <v>22635.204055005834</v>
      </c>
      <c r="H33" s="11">
        <f>D33/(1+overzicht!$I$11)^F33</f>
        <v>0</v>
      </c>
      <c r="I33" s="13">
        <f>E33*(1+overzicht!$I$10)^F33/(1+overzicht!$I$11)^overzicht!$D$11</f>
        <v>0</v>
      </c>
      <c r="K33">
        <v>22</v>
      </c>
    </row>
    <row r="34" spans="2:11">
      <c r="B34" s="2">
        <f t="shared" si="0"/>
        <v>2036</v>
      </c>
      <c r="C34" s="51">
        <f>IF($B$9&gt;=B34,+C33*(1+overzicht!$I$9),0)</f>
        <v>85867.674062946928</v>
      </c>
      <c r="D34" s="15">
        <f>IF(overzicht!$D$15&lt;=(overzicht!$D$10+(overzicht!$D$11-1)),IF(overzicht!$D$15=+B34,(overzicht!$D$9*overzicht!#REF!),0),0)</f>
        <v>0</v>
      </c>
      <c r="E34" s="15">
        <f>IF((overzicht!$D$10+(overzicht!$D$11-1))=+B34,(+overzicht!$D$9*overzicht!$D$14),0)</f>
        <v>0</v>
      </c>
      <c r="F34" s="11">
        <f t="shared" si="1"/>
        <v>23.5</v>
      </c>
      <c r="G34" s="11">
        <f>C34/(1+overzicht!$I$11)^F34</f>
        <v>21834.430326644775</v>
      </c>
      <c r="H34" s="11">
        <f>D34/(1+overzicht!$I$11)^F34</f>
        <v>0</v>
      </c>
      <c r="I34" s="13">
        <f>E34*(1+overzicht!$I$10)^F34/(1+overzicht!$I$11)^overzicht!$D$11</f>
        <v>0</v>
      </c>
      <c r="K34">
        <v>23</v>
      </c>
    </row>
    <row r="35" spans="2:11">
      <c r="B35" s="2">
        <f t="shared" si="0"/>
        <v>2037</v>
      </c>
      <c r="C35" s="51">
        <f>IF($B$9&gt;=B35,+C34*(1+overzicht!$I$9),0)</f>
        <v>87799.696729363233</v>
      </c>
      <c r="D35" s="15">
        <f>IF(overzicht!$D$15&lt;=(overzicht!$D$10+(overzicht!$D$11-1)),IF(overzicht!$D$15=+B35,(overzicht!$D$9*overzicht!#REF!),0),0)</f>
        <v>0</v>
      </c>
      <c r="E35" s="15">
        <f>IF((overzicht!$D$10+(overzicht!$D$11-1))=+B35,(+overzicht!$D$9*overzicht!$D$14),0)</f>
        <v>0</v>
      </c>
      <c r="F35" s="11">
        <f t="shared" si="1"/>
        <v>24.5</v>
      </c>
      <c r="G35" s="11">
        <f>C35/(1+overzicht!$I$11)^F35</f>
        <v>21061.985857541775</v>
      </c>
      <c r="H35" s="11">
        <f>D35/(1+overzicht!$I$11)^F35</f>
        <v>0</v>
      </c>
      <c r="I35" s="13">
        <f>E35*(1+overzicht!$I$10)^F35/(1+overzicht!$I$11)^overzicht!$D$11</f>
        <v>0</v>
      </c>
      <c r="K35">
        <v>24</v>
      </c>
    </row>
    <row r="36" spans="2:11">
      <c r="B36" s="2">
        <f t="shared" si="0"/>
        <v>2038</v>
      </c>
      <c r="C36" s="51">
        <f>IF($B$9&gt;=B36,+C35*(1+overzicht!$I$9),0)</f>
        <v>89775.189905773907</v>
      </c>
      <c r="D36" s="15">
        <f>IF(overzicht!$D$15&lt;=(overzicht!$D$10+(overzicht!$D$11-1)),IF(overzicht!$D$15=+B36,(overzicht!$D$9*overzicht!#REF!),0),0)</f>
        <v>0</v>
      </c>
      <c r="E36" s="15">
        <f>IF((overzicht!$D$10+(overzicht!$D$11-1))=+B36,(+overzicht!$D$9*overzicht!$D$14),0)</f>
        <v>0</v>
      </c>
      <c r="F36" s="11">
        <f t="shared" si="1"/>
        <v>25.5</v>
      </c>
      <c r="G36" s="11">
        <f>C36/(1+overzicht!$I$11)^F36</f>
        <v>20316.868433336287</v>
      </c>
      <c r="H36" s="11">
        <f>D36/(1+overzicht!$I$11)^F36</f>
        <v>0</v>
      </c>
      <c r="I36" s="13">
        <f>E36*(1+overzicht!$I$10)^F36/(1+overzicht!$I$11)^overzicht!$D$11</f>
        <v>0</v>
      </c>
      <c r="K36">
        <v>25</v>
      </c>
    </row>
    <row r="37" spans="2:11">
      <c r="B37" s="2">
        <f t="shared" si="0"/>
        <v>2039</v>
      </c>
      <c r="C37" s="51">
        <f>IF($B$9&gt;=B37,+C36*(1+overzicht!$I$9),0)</f>
        <v>91795.131678653823</v>
      </c>
      <c r="D37" s="15">
        <f>IF(overzicht!$D$15&lt;=(overzicht!$D$10+(overzicht!$D$11-1)),IF(overzicht!$D$15=+B37,(overzicht!$D$9*overzicht!#REF!),0),0)</f>
        <v>0</v>
      </c>
      <c r="E37" s="15">
        <f>IF((overzicht!$D$10+(overzicht!$D$11-1))=+B37,(+overzicht!$D$9*overzicht!$D$14),0)</f>
        <v>0</v>
      </c>
      <c r="F37" s="11">
        <f t="shared" si="1"/>
        <v>26.5</v>
      </c>
      <c r="G37" s="11">
        <f>C37/(1+overzicht!$I$11)^F37</f>
        <v>19598.111295364488</v>
      </c>
      <c r="H37" s="11">
        <f>D37/(1+overzicht!$I$11)^F37</f>
        <v>0</v>
      </c>
      <c r="I37" s="13">
        <f>E37*(1+overzicht!$I$10)^F37/(1+overzicht!$I$11)^overzicht!$D$11</f>
        <v>0</v>
      </c>
      <c r="K37">
        <v>26</v>
      </c>
    </row>
    <row r="38" spans="2:11">
      <c r="B38" s="2">
        <f t="shared" si="0"/>
        <v>2040</v>
      </c>
      <c r="C38" s="51">
        <f>IF($B$9&gt;=B38,+C37*(1+overzicht!$I$9),0)</f>
        <v>93860.522141423528</v>
      </c>
      <c r="D38" s="15">
        <f>IF(overzicht!$D$15&lt;=(overzicht!$D$10+(overzicht!$D$11-1)),IF(overzicht!$D$15=+B38,(overzicht!$D$9*overzicht!#REF!),0),0)</f>
        <v>0</v>
      </c>
      <c r="E38" s="15">
        <f>IF((overzicht!$D$10+(overzicht!$D$11-1))=+B38,(+overzicht!$D$9*overzicht!$D$14),0)</f>
        <v>0</v>
      </c>
      <c r="F38" s="11">
        <f t="shared" si="1"/>
        <v>27.5</v>
      </c>
      <c r="G38" s="11">
        <f>C38/(1+overzicht!$I$11)^F38</f>
        <v>18904.781886330358</v>
      </c>
      <c r="H38" s="11">
        <f>D38/(1+overzicht!$I$11)^F38</f>
        <v>0</v>
      </c>
      <c r="I38" s="13">
        <f>E38*(1+overzicht!$I$10)^F38/(1+overzicht!$I$11)^overzicht!$D$11</f>
        <v>0</v>
      </c>
      <c r="K38">
        <v>27</v>
      </c>
    </row>
    <row r="39" spans="2:11">
      <c r="B39" s="2">
        <f t="shared" si="0"/>
        <v>2041</v>
      </c>
      <c r="C39" s="51">
        <f>IF($B$9&gt;=B39,+C38*(1+overzicht!$I$9),0)</f>
        <v>95972.383889605553</v>
      </c>
      <c r="D39" s="15">
        <f>IF(overzicht!$D$15&lt;=(overzicht!$D$10+(overzicht!$D$11-1)),IF(overzicht!$D$15=+B39,(overzicht!$D$9*overzicht!#REF!),0),0)</f>
        <v>0</v>
      </c>
      <c r="E39" s="15">
        <f>IF((overzicht!$D$10+(overzicht!$D$11-1))=+B39,(+overzicht!$D$9*overzicht!$D$14),0)</f>
        <v>0</v>
      </c>
      <c r="F39" s="11">
        <f t="shared" si="1"/>
        <v>28.5</v>
      </c>
      <c r="G39" s="11">
        <f>C39/(1+overzicht!$I$11)^F39</f>
        <v>18235.980640351692</v>
      </c>
      <c r="H39" s="11">
        <f>D39/(1+overzicht!$I$11)^F39</f>
        <v>0</v>
      </c>
      <c r="I39" s="13">
        <f>E39*(1+overzicht!$I$10)^F39/(1+overzicht!$I$11)^overzicht!$D$11</f>
        <v>0</v>
      </c>
      <c r="K39">
        <v>28</v>
      </c>
    </row>
    <row r="40" spans="2:11">
      <c r="B40" s="2">
        <f t="shared" si="0"/>
        <v>2042</v>
      </c>
      <c r="C40" s="51">
        <f>IF($B$9&gt;=B40,+C39*(1+overzicht!$I$9),0)</f>
        <v>98131.762527121668</v>
      </c>
      <c r="D40" s="15">
        <f>IF(overzicht!$D$15&lt;=(overzicht!$D$10+(overzicht!$D$11-1)),IF(overzicht!$D$15=+B40,(overzicht!$D$9*overzicht!#REF!),0),0)</f>
        <v>0</v>
      </c>
      <c r="E40" s="15">
        <f>IF((overzicht!$D$10+(overzicht!$D$11-1))=+B40,(+overzicht!$D$9*overzicht!$D$14),0)</f>
        <v>0</v>
      </c>
      <c r="F40" s="11">
        <f t="shared" si="1"/>
        <v>29.5</v>
      </c>
      <c r="G40" s="11">
        <f>C40/(1+overzicht!$I$11)^F40</f>
        <v>17590.839815810945</v>
      </c>
      <c r="H40" s="11">
        <f>D40/(1+overzicht!$I$11)^F40</f>
        <v>0</v>
      </c>
      <c r="I40" s="13">
        <f>E40*(1+overzicht!$I$10)^F40/(1+overzicht!$I$11)^overzicht!$D$11</f>
        <v>0</v>
      </c>
      <c r="K40">
        <v>29</v>
      </c>
    </row>
    <row r="41" spans="2:11">
      <c r="B41" s="2">
        <f t="shared" si="0"/>
        <v>2043</v>
      </c>
      <c r="C41" s="51">
        <f>IF($B$9&gt;=B41,+C40*(1+overzicht!$I$9),0)</f>
        <v>100339.7271839819</v>
      </c>
      <c r="D41" s="15">
        <f>IF(overzicht!$D$15&lt;=(overzicht!$D$10+(overzicht!$D$11-1)),IF(overzicht!$D$15=+B41,(overzicht!$D$9*overzicht!#REF!),0),0)</f>
        <v>0</v>
      </c>
      <c r="E41" s="15">
        <f>IF((overzicht!$D$10+(overzicht!$D$11-1))=+B41,(+overzicht!$D$9*overzicht!$D$14),0)</f>
        <v>0</v>
      </c>
      <c r="F41" s="11">
        <f t="shared" si="1"/>
        <v>30.5</v>
      </c>
      <c r="G41" s="11">
        <f>C41/(1+overzicht!$I$11)^F41</f>
        <v>16968.522369496877</v>
      </c>
      <c r="H41" s="11">
        <f>D41/(1+overzicht!$I$11)^F41</f>
        <v>0</v>
      </c>
      <c r="I41" s="13">
        <f>E41*(1+overzicht!$I$10)^F41/(1+overzicht!$I$11)^overzicht!$D$11</f>
        <v>0</v>
      </c>
      <c r="K41">
        <v>30</v>
      </c>
    </row>
    <row r="42" spans="2:11">
      <c r="B42" s="2">
        <f t="shared" si="0"/>
        <v>2044</v>
      </c>
      <c r="C42" s="51">
        <f>IF($B$9&gt;=B42,+C41*(1+overzicht!$I$9),0)</f>
        <v>102597.37104562149</v>
      </c>
      <c r="D42" s="15">
        <f>IF(overzicht!$D$15&lt;=(overzicht!$D$10+(overzicht!$D$11-1)),IF(overzicht!$D$15=+B42,(overzicht!$D$9*overzicht!#REF!),0),0)</f>
        <v>0</v>
      </c>
      <c r="E42" s="15">
        <f>IF((overzicht!$D$10+(overzicht!$D$11-1))=+B42,(+overzicht!$D$9*overzicht!$D$14),0)</f>
        <v>0</v>
      </c>
      <c r="F42" s="11">
        <f t="shared" si="1"/>
        <v>31.5</v>
      </c>
      <c r="G42" s="11">
        <f>C42/(1+overzicht!$I$11)^F42</f>
        <v>16368.220870575997</v>
      </c>
      <c r="H42" s="11">
        <f>D42/(1+overzicht!$I$11)^F42</f>
        <v>0</v>
      </c>
      <c r="I42" s="13">
        <f>E42*(1+overzicht!$I$10)^F42/(1+overzicht!$I$11)^overzicht!$D$11</f>
        <v>0</v>
      </c>
      <c r="K42">
        <v>31</v>
      </c>
    </row>
    <row r="43" spans="2:11">
      <c r="B43" s="2">
        <f t="shared" si="0"/>
        <v>2045</v>
      </c>
      <c r="C43" s="51">
        <f>IF($B$9&gt;=B43,+C42*(1+overzicht!$I$9),0)</f>
        <v>104905.81189414798</v>
      </c>
      <c r="D43" s="15">
        <f>IF(overzicht!$D$15&lt;=(overzicht!$D$10+(overzicht!$D$11-1)),IF(overzicht!$D$15=+B43,(overzicht!$D$9*overzicht!#REF!),0),0)</f>
        <v>0</v>
      </c>
      <c r="E43" s="15">
        <f>IF((overzicht!$D$10+(overzicht!$D$11-1))=+B43,(+overzicht!$D$9*overzicht!$D$14),0)</f>
        <v>0</v>
      </c>
      <c r="F43" s="11">
        <f t="shared" si="1"/>
        <v>32.5</v>
      </c>
      <c r="G43" s="11">
        <f>C43/(1+overzicht!$I$11)^F43</f>
        <v>15789.156452984862</v>
      </c>
      <c r="H43" s="11">
        <f>D43/(1+overzicht!$I$11)^F43</f>
        <v>0</v>
      </c>
      <c r="I43" s="13">
        <f>E43*(1+overzicht!$I$10)^F43/(1+overzicht!$I$11)^overzicht!$D$11</f>
        <v>0</v>
      </c>
      <c r="K43">
        <v>32</v>
      </c>
    </row>
    <row r="44" spans="2:11">
      <c r="B44" s="2">
        <f t="shared" ref="B44:B60" si="2">B43+1</f>
        <v>2046</v>
      </c>
      <c r="C44" s="51">
        <f>IF($B$9&gt;=B44,+C43*(1+overzicht!$I$9),0)</f>
        <v>107266.1926617663</v>
      </c>
      <c r="D44" s="15">
        <f>IF(overzicht!$D$15&lt;=(overzicht!$D$10+(overzicht!$D$11-1)),IF(overzicht!$D$15=+B44,(overzicht!$D$9*overzicht!#REF!),0),0)</f>
        <v>0</v>
      </c>
      <c r="E44" s="15">
        <f>IF((overzicht!$D$10+(overzicht!$D$11-1))=+B44,(+overzicht!$D$9*overzicht!$D$14),0)</f>
        <v>0</v>
      </c>
      <c r="F44" s="11">
        <f t="shared" ref="F44:F60" si="3">F43+1</f>
        <v>33.5</v>
      </c>
      <c r="G44" s="11">
        <f>C44/(1+overzicht!$I$11)^F44</f>
        <v>15230.57780488398</v>
      </c>
      <c r="H44" s="11">
        <f>D44/(1+overzicht!$I$11)^F44</f>
        <v>0</v>
      </c>
      <c r="I44" s="13">
        <f>E44*(1+overzicht!$I$10)^F44/(1+overzicht!$I$11)^overzicht!$D$11</f>
        <v>0</v>
      </c>
      <c r="K44">
        <v>33</v>
      </c>
    </row>
    <row r="45" spans="2:11">
      <c r="B45" s="2">
        <f t="shared" si="2"/>
        <v>2047</v>
      </c>
      <c r="C45" s="51">
        <f>IF($B$9&gt;=B45,+C44*(1+overzicht!$I$9),0)</f>
        <v>109679.68199665603</v>
      </c>
      <c r="D45" s="15">
        <f>IF(overzicht!$D$15&lt;=(overzicht!$D$10+(overzicht!$D$11-1)),IF(overzicht!$D$15=+B45,(overzicht!$D$9*overzicht!#REF!),0),0)</f>
        <v>0</v>
      </c>
      <c r="E45" s="15">
        <f>IF((overzicht!$D$10+(overzicht!$D$11-1))=+B45,(+overzicht!$D$9*overzicht!$D$14),0)</f>
        <v>0</v>
      </c>
      <c r="F45" s="11">
        <f t="shared" si="3"/>
        <v>34.5</v>
      </c>
      <c r="G45" s="11">
        <f>C45/(1+overzicht!$I$11)^F45</f>
        <v>14691.760193862139</v>
      </c>
      <c r="H45" s="11">
        <f>D45/(1+overzicht!$I$11)^F45</f>
        <v>0</v>
      </c>
      <c r="I45" s="13">
        <f>E45*(1+overzicht!$I$10)^F45/(1+overzicht!$I$11)^overzicht!$D$11</f>
        <v>0</v>
      </c>
      <c r="K45">
        <v>34</v>
      </c>
    </row>
    <row r="46" spans="2:11">
      <c r="B46" s="2">
        <f t="shared" si="2"/>
        <v>2048</v>
      </c>
      <c r="C46" s="51">
        <f>IF($B$9&gt;=B46,+C45*(1+overzicht!$I$9),0)</f>
        <v>112147.47484158078</v>
      </c>
      <c r="D46" s="15">
        <f>IF(overzicht!$D$15&lt;=(overzicht!$D$10+(overzicht!$D$11-1)),IF(overzicht!$D$15=+B46,(overzicht!$D$9*overzicht!#REF!),0),0)</f>
        <v>0</v>
      </c>
      <c r="E46" s="15">
        <f>IF((overzicht!$D$10+(overzicht!$D$11-1))=+B46,(+overzicht!$D$9*overzicht!$D$14),0)</f>
        <v>0</v>
      </c>
      <c r="F46" s="11">
        <f t="shared" si="3"/>
        <v>35.5</v>
      </c>
      <c r="G46" s="11">
        <f>C46/(1+overzicht!$I$11)^F46</f>
        <v>14172.004526626448</v>
      </c>
      <c r="H46" s="11">
        <f>D46/(1+overzicht!$I$11)^F46</f>
        <v>0</v>
      </c>
      <c r="I46" s="13">
        <f>E46*(1+overzicht!$I$10)^F46/(1+overzicht!$I$11)^overzicht!$D$11</f>
        <v>0</v>
      </c>
      <c r="K46">
        <v>35</v>
      </c>
    </row>
    <row r="47" spans="2:11">
      <c r="B47" s="2">
        <f t="shared" si="2"/>
        <v>2049</v>
      </c>
      <c r="C47" s="51">
        <f>IF($B$9&gt;=B47,+C46*(1+overzicht!$I$9),0)</f>
        <v>114670.79302551635</v>
      </c>
      <c r="D47" s="15">
        <f>IF(overzicht!$D$15&lt;=(overzicht!$D$10+(overzicht!$D$11-1)),IF(overzicht!$D$15=+B47,(overzicht!$D$9*overzicht!#REF!),0),0)</f>
        <v>0</v>
      </c>
      <c r="E47" s="15">
        <f>IF((overzicht!$D$10+(overzicht!$D$11-1))=+B47,(+overzicht!$D$9*overzicht!$D$14),0)</f>
        <v>0</v>
      </c>
      <c r="F47" s="11">
        <f t="shared" si="3"/>
        <v>36.5</v>
      </c>
      <c r="G47" s="11">
        <f>C47/(1+overzicht!$I$11)^F47</f>
        <v>13670.636441958062</v>
      </c>
      <c r="H47" s="11">
        <f>D47/(1+overzicht!$I$11)^F47</f>
        <v>0</v>
      </c>
      <c r="I47" s="13">
        <f>E47*(1+overzicht!$I$10)^F47/(1+overzicht!$I$11)^overzicht!$D$11</f>
        <v>0</v>
      </c>
      <c r="K47">
        <v>36</v>
      </c>
    </row>
    <row r="48" spans="2:11">
      <c r="B48" s="2">
        <f t="shared" si="2"/>
        <v>2050</v>
      </c>
      <c r="C48" s="51">
        <f>IF($B$9&gt;=B48,+C47*(1+overzicht!$I$9),0)</f>
        <v>117250.88586859047</v>
      </c>
      <c r="D48" s="15">
        <f>IF(overzicht!$D$15&lt;=(overzicht!$D$10+(overzicht!$D$11-1)),IF(overzicht!$D$15=+B48,(overzicht!$D$9*overzicht!#REF!),0),0)</f>
        <v>0</v>
      </c>
      <c r="E48" s="15">
        <f>IF((overzicht!$D$10+(overzicht!$D$11-1))=+B48,(+overzicht!$D$9*overzicht!$D$14),0)</f>
        <v>0</v>
      </c>
      <c r="F48" s="11">
        <f t="shared" si="3"/>
        <v>37.5</v>
      </c>
      <c r="G48" s="11">
        <f>C48/(1+overzicht!$I$11)^F48</f>
        <v>13187.005435756713</v>
      </c>
      <c r="H48" s="11">
        <f>D48/(1+overzicht!$I$11)^F48</f>
        <v>0</v>
      </c>
      <c r="I48" s="13">
        <f>E48*(1+overzicht!$I$10)^F48/(1+overzicht!$I$11)^overzicht!$D$11</f>
        <v>0</v>
      </c>
      <c r="K48">
        <v>37</v>
      </c>
    </row>
    <row r="49" spans="2:11">
      <c r="B49" s="2">
        <f t="shared" si="2"/>
        <v>2051</v>
      </c>
      <c r="C49" s="51">
        <f>IF($B$9&gt;=B49,+C48*(1+overzicht!$I$9),0)</f>
        <v>119889.03080063376</v>
      </c>
      <c r="D49" s="15">
        <f>IF(overzicht!$D$15&lt;=(overzicht!$D$10+(overzicht!$D$11-1)),IF(overzicht!$D$15=+B49,(overzicht!$D$9*overzicht!#REF!),0),0)</f>
        <v>0</v>
      </c>
      <c r="E49" s="15">
        <f>IF((overzicht!$D$10+(overzicht!$D$11-1))=+B49,(+overzicht!$D$9*overzicht!$D$14),0)</f>
        <v>0</v>
      </c>
      <c r="F49" s="11">
        <f t="shared" si="3"/>
        <v>38.5</v>
      </c>
      <c r="G49" s="11">
        <f>C49/(1+overzicht!$I$11)^F49</f>
        <v>12720.484017038909</v>
      </c>
      <c r="H49" s="11">
        <f>D49/(1+overzicht!$I$11)^F49</f>
        <v>0</v>
      </c>
      <c r="I49" s="13">
        <f>E49*(1+overzicht!$I$10)^F49/(1+overzicht!$I$11)^overzicht!$D$11</f>
        <v>0</v>
      </c>
      <c r="K49">
        <v>38</v>
      </c>
    </row>
    <row r="50" spans="2:11">
      <c r="B50" s="2">
        <f t="shared" si="2"/>
        <v>2052</v>
      </c>
      <c r="C50" s="51">
        <f>IF($B$9&gt;=B50,+C49*(1+overzicht!$I$9),0)</f>
        <v>122586.53399364802</v>
      </c>
      <c r="D50" s="15">
        <f>IF(overzicht!$D$15&lt;=(overzicht!$D$10+(overzicht!$D$11-1)),IF(overzicht!$D$15=+B50,(overzicht!$D$9*overzicht!#REF!),0),0)</f>
        <v>0</v>
      </c>
      <c r="E50" s="15">
        <f>IF((overzicht!$D$10+(overzicht!$D$11-1))=+B50,(+overzicht!$D$9*overzicht!$D$14),0)</f>
        <v>60000</v>
      </c>
      <c r="F50" s="11">
        <f t="shared" si="3"/>
        <v>39.5</v>
      </c>
      <c r="G50" s="11">
        <f>C50/(1+overzicht!$I$11)^F50</f>
        <v>12270.466893794603</v>
      </c>
      <c r="H50" s="11">
        <f>D50/(1+overzicht!$I$11)^F50</f>
        <v>0</v>
      </c>
      <c r="I50" s="13">
        <f>E50*(1+overzicht!$I$10)^F50/(1+overzicht!$I$11)^overzicht!$D$11</f>
        <v>14048.101894667328</v>
      </c>
      <c r="K50">
        <v>39</v>
      </c>
    </row>
    <row r="51" spans="2:11">
      <c r="B51" s="2">
        <f t="shared" si="2"/>
        <v>2053</v>
      </c>
      <c r="C51" s="51">
        <f>IF($B$9&gt;=B51,+C50*(1+overzicht!$I$9),0)</f>
        <v>0</v>
      </c>
      <c r="D51" s="15">
        <f>IF(overzicht!$D$15&lt;=(overzicht!$D$10+(overzicht!$D$11-1)),IF(overzicht!$D$15=+B51,(overzicht!$D$9*overzicht!#REF!),0),0)</f>
        <v>0</v>
      </c>
      <c r="E51" s="15">
        <f>IF((overzicht!$D$10+(overzicht!$D$11-1))=+B51,(+overzicht!$D$9*overzicht!$D$14),0)</f>
        <v>0</v>
      </c>
      <c r="F51" s="11">
        <f t="shared" si="3"/>
        <v>40.5</v>
      </c>
      <c r="G51" s="11">
        <f>C51/(1+overzicht!$I$11)^F51</f>
        <v>0</v>
      </c>
      <c r="H51" s="11">
        <f>D51/(1+overzicht!$I$11)^F51</f>
        <v>0</v>
      </c>
      <c r="I51" s="13">
        <f>E51*(1+overzicht!$I$10)^F51/(1+overzicht!$I$11)^overzicht!$D$11</f>
        <v>0</v>
      </c>
      <c r="K51">
        <v>40</v>
      </c>
    </row>
    <row r="52" spans="2:11">
      <c r="B52" s="2">
        <f t="shared" si="2"/>
        <v>2054</v>
      </c>
      <c r="C52" s="51">
        <f>IF($B$9&gt;=B52,+C51*(1+overzicht!$I$9),0)</f>
        <v>0</v>
      </c>
      <c r="D52" s="15">
        <f>IF(overzicht!$D$15&lt;=(overzicht!$D$10+(overzicht!$D$11-1)),IF(overzicht!$D$15=+B52,(overzicht!$D$9*overzicht!#REF!),0),0)</f>
        <v>0</v>
      </c>
      <c r="E52" s="15">
        <f>IF((overzicht!$D$10+(overzicht!$D$11-1))=+B52,(+overzicht!$D$9*overzicht!$D$14),0)</f>
        <v>0</v>
      </c>
      <c r="F52" s="11">
        <f t="shared" si="3"/>
        <v>41.5</v>
      </c>
      <c r="G52" s="11">
        <f>C52/(1+overzicht!$I$11)^F52</f>
        <v>0</v>
      </c>
      <c r="H52" s="11">
        <f>D52/(1+overzicht!$I$11)^F52</f>
        <v>0</v>
      </c>
      <c r="I52" s="13">
        <f>E52*(1+overzicht!$I$10)^F52/(1+overzicht!$I$11)^overzicht!$D$11</f>
        <v>0</v>
      </c>
      <c r="K52">
        <v>41</v>
      </c>
    </row>
    <row r="53" spans="2:11">
      <c r="B53" s="2">
        <f t="shared" si="2"/>
        <v>2055</v>
      </c>
      <c r="C53" s="51">
        <f>IF($B$9&gt;=B53,+C52*(1+overzicht!$I$9),0)</f>
        <v>0</v>
      </c>
      <c r="D53" s="15">
        <f>IF(overzicht!$D$15&lt;=(overzicht!$D$10+(overzicht!$D$11-1)),IF(overzicht!$D$15=+B53,(overzicht!$D$9*overzicht!#REF!),0),0)</f>
        <v>0</v>
      </c>
      <c r="E53" s="15">
        <f>IF((overzicht!$D$10+(overzicht!$D$11-1))=+B53,(+overzicht!$D$9*overzicht!$D$14),0)</f>
        <v>0</v>
      </c>
      <c r="F53" s="11">
        <f t="shared" si="3"/>
        <v>42.5</v>
      </c>
      <c r="G53" s="11">
        <f>C53/(1+overzicht!$I$11)^F53</f>
        <v>0</v>
      </c>
      <c r="H53" s="11">
        <f>D53/(1+overzicht!$I$11)^F53</f>
        <v>0</v>
      </c>
      <c r="I53" s="13">
        <f>E53*(1+overzicht!$I$10)^F53/(1+overzicht!$I$11)^overzicht!$D$11</f>
        <v>0</v>
      </c>
      <c r="K53">
        <v>42</v>
      </c>
    </row>
    <row r="54" spans="2:11">
      <c r="B54" s="2">
        <f t="shared" si="2"/>
        <v>2056</v>
      </c>
      <c r="C54" s="51">
        <f>IF($B$9&gt;=B54,+C53*(1+overzicht!$I$9),0)</f>
        <v>0</v>
      </c>
      <c r="D54" s="15">
        <f>IF(overzicht!$D$15&lt;=(overzicht!$D$10+(overzicht!$D$11-1)),IF(overzicht!$D$15=+B54,(overzicht!$D$9*overzicht!#REF!),0),0)</f>
        <v>0</v>
      </c>
      <c r="E54" s="15">
        <f>IF((overzicht!$D$10+(overzicht!$D$11-1))=+B54,(+overzicht!$D$9*overzicht!$D$14),0)</f>
        <v>0</v>
      </c>
      <c r="F54" s="11">
        <f t="shared" si="3"/>
        <v>43.5</v>
      </c>
      <c r="G54" s="11">
        <f>C54/(1+overzicht!$I$11)^F54</f>
        <v>0</v>
      </c>
      <c r="H54" s="11">
        <f>D54/(1+overzicht!$I$11)^F54</f>
        <v>0</v>
      </c>
      <c r="I54" s="13">
        <f>E54*(1+overzicht!$I$10)^F54/(1+overzicht!$I$11)^overzicht!$D$11</f>
        <v>0</v>
      </c>
      <c r="K54">
        <v>43</v>
      </c>
    </row>
    <row r="55" spans="2:11">
      <c r="B55" s="2">
        <f t="shared" si="2"/>
        <v>2057</v>
      </c>
      <c r="C55" s="51">
        <f>IF($B$9&gt;=B55,+C54*(1+overzicht!$I$9),0)</f>
        <v>0</v>
      </c>
      <c r="D55" s="15">
        <f>IF(overzicht!$D$15&lt;=(overzicht!$D$10+(overzicht!$D$11-1)),IF(overzicht!$D$15=+B55,(overzicht!$D$9*overzicht!#REF!),0),0)</f>
        <v>0</v>
      </c>
      <c r="E55" s="15">
        <f>IF((overzicht!$D$10+(overzicht!$D$11-1))=+B55,(+overzicht!$D$9*overzicht!$D$14),0)</f>
        <v>0</v>
      </c>
      <c r="F55" s="11">
        <f t="shared" si="3"/>
        <v>44.5</v>
      </c>
      <c r="G55" s="11">
        <f>C55/(1+overzicht!$I$11)^F55</f>
        <v>0</v>
      </c>
      <c r="H55" s="11">
        <f>D55/(1+overzicht!$I$11)^F55</f>
        <v>0</v>
      </c>
      <c r="I55" s="13">
        <f>E55*(1+overzicht!$I$10)^F55/(1+overzicht!$I$11)^overzicht!$D$11</f>
        <v>0</v>
      </c>
      <c r="K55">
        <v>44</v>
      </c>
    </row>
    <row r="56" spans="2:11">
      <c r="B56" s="2">
        <f t="shared" si="2"/>
        <v>2058</v>
      </c>
      <c r="C56" s="51">
        <f>IF($B$9&gt;=B56,+C55*(1+overzicht!$I$9),0)</f>
        <v>0</v>
      </c>
      <c r="D56" s="15">
        <f>IF(overzicht!$D$15&lt;=(overzicht!$D$10+(overzicht!$D$11-1)),IF(overzicht!$D$15=+B56,(overzicht!$D$9*overzicht!#REF!),0),0)</f>
        <v>0</v>
      </c>
      <c r="E56" s="15">
        <f>IF((overzicht!$D$10+(overzicht!$D$11-1))=+B56,(+overzicht!$D$9*overzicht!$D$14),0)</f>
        <v>0</v>
      </c>
      <c r="F56" s="11">
        <f t="shared" si="3"/>
        <v>45.5</v>
      </c>
      <c r="G56" s="11">
        <f>C56/(1+overzicht!$I$11)^F56</f>
        <v>0</v>
      </c>
      <c r="H56" s="11">
        <f>D56/(1+overzicht!$I$11)^F56</f>
        <v>0</v>
      </c>
      <c r="I56" s="13">
        <f>E56*(1+overzicht!$I$10)^F56/(1+overzicht!$I$11)^overzicht!$D$11</f>
        <v>0</v>
      </c>
      <c r="K56">
        <v>45</v>
      </c>
    </row>
    <row r="57" spans="2:11">
      <c r="B57" s="2">
        <f t="shared" si="2"/>
        <v>2059</v>
      </c>
      <c r="C57" s="51">
        <f>IF($B$9&gt;=B57,+C56*(1+overzicht!$I$9),0)</f>
        <v>0</v>
      </c>
      <c r="D57" s="15">
        <f>IF(overzicht!$D$15&lt;=(overzicht!$D$10+(overzicht!$D$11-1)),IF(overzicht!$D$15=+B57,(overzicht!$D$9*overzicht!#REF!),0),0)</f>
        <v>0</v>
      </c>
      <c r="E57" s="15">
        <f>IF((overzicht!$D$10+(overzicht!$D$11-1))=+B57,(+overzicht!$D$9*overzicht!$D$14),0)</f>
        <v>0</v>
      </c>
      <c r="F57" s="11">
        <f t="shared" si="3"/>
        <v>46.5</v>
      </c>
      <c r="G57" s="11">
        <f>C57/(1+overzicht!$I$11)^F57</f>
        <v>0</v>
      </c>
      <c r="H57" s="11">
        <f>D57/(1+overzicht!$I$11)^F57</f>
        <v>0</v>
      </c>
      <c r="I57" s="13">
        <f>E57*(1+overzicht!$I$10)^F57/(1+overzicht!$I$11)^overzicht!$D$11</f>
        <v>0</v>
      </c>
      <c r="K57">
        <v>46</v>
      </c>
    </row>
    <row r="58" spans="2:11">
      <c r="B58" s="2">
        <f t="shared" si="2"/>
        <v>2060</v>
      </c>
      <c r="C58" s="51">
        <f>IF($B$9&gt;=B58,+C57*(1+overzicht!$I$9),0)</f>
        <v>0</v>
      </c>
      <c r="D58" s="15">
        <f>IF(overzicht!$D$15&lt;=(overzicht!$D$10+(overzicht!$D$11-1)),IF(overzicht!$D$15=+B58,(overzicht!$D$9*overzicht!#REF!),0),0)</f>
        <v>0</v>
      </c>
      <c r="E58" s="15">
        <f>IF((overzicht!$D$10+(overzicht!$D$11-1))=+B58,(+overzicht!$D$9*overzicht!$D$14),0)</f>
        <v>0</v>
      </c>
      <c r="F58" s="11">
        <f t="shared" si="3"/>
        <v>47.5</v>
      </c>
      <c r="G58" s="11">
        <f>C58/(1+overzicht!$I$11)^F58</f>
        <v>0</v>
      </c>
      <c r="H58" s="11">
        <f>D58/(1+overzicht!$I$11)^F58</f>
        <v>0</v>
      </c>
      <c r="I58" s="13">
        <f>E58*(1+overzicht!$I$10)^F58/(1+overzicht!$I$11)^overzicht!$D$11</f>
        <v>0</v>
      </c>
      <c r="K58">
        <v>47</v>
      </c>
    </row>
    <row r="59" spans="2:11">
      <c r="B59" s="2">
        <f t="shared" si="2"/>
        <v>2061</v>
      </c>
      <c r="C59" s="51">
        <f>IF($B$9&gt;=B59,+C58*(1+overzicht!$I$9),0)</f>
        <v>0</v>
      </c>
      <c r="D59" s="15">
        <f>IF(overzicht!$D$15&lt;=(overzicht!$D$10+(overzicht!$D$11-1)),IF(overzicht!$D$15=+B59,(overzicht!$D$9*overzicht!#REF!),0),0)</f>
        <v>0</v>
      </c>
      <c r="E59" s="15">
        <f>IF((overzicht!$D$10+(overzicht!$D$11-1))=+B59,(+overzicht!$D$9*overzicht!$D$14),0)</f>
        <v>0</v>
      </c>
      <c r="F59" s="11">
        <f t="shared" si="3"/>
        <v>48.5</v>
      </c>
      <c r="G59" s="11">
        <f>C59/(1+overzicht!$I$11)^F59</f>
        <v>0</v>
      </c>
      <c r="H59" s="11">
        <f>D59/(1+overzicht!$I$11)^F59</f>
        <v>0</v>
      </c>
      <c r="I59" s="13">
        <f>E59*(1+overzicht!$I$10)^F59/(1+overzicht!$I$11)^overzicht!$D$11</f>
        <v>0</v>
      </c>
      <c r="K59">
        <v>48</v>
      </c>
    </row>
    <row r="60" spans="2:11">
      <c r="B60" s="2">
        <f t="shared" si="2"/>
        <v>2062</v>
      </c>
      <c r="C60" s="51">
        <f>IF($B$9&gt;=B60,+C59*(1+overzicht!$I$9),0)</f>
        <v>0</v>
      </c>
      <c r="D60" s="15">
        <f>IF(overzicht!$D$15&lt;=(overzicht!$D$10+(overzicht!$D$11-1)),IF(overzicht!$D$15=+B60,(overzicht!$D$9*overzicht!#REF!),0),0)</f>
        <v>0</v>
      </c>
      <c r="E60" s="15">
        <f>IF((overzicht!$D$10+(overzicht!$D$11-1))=+B60,(+overzicht!$D$9*overzicht!$D$14),0)</f>
        <v>0</v>
      </c>
      <c r="F60" s="11">
        <f t="shared" si="3"/>
        <v>49.5</v>
      </c>
      <c r="G60" s="11">
        <f>C60/(1+overzicht!$I$11)^F60</f>
        <v>0</v>
      </c>
      <c r="H60" s="11">
        <f>D60/(1+overzicht!$I$11)^F60</f>
        <v>0</v>
      </c>
      <c r="I60" s="13">
        <v>0</v>
      </c>
      <c r="K60">
        <v>49</v>
      </c>
    </row>
    <row r="61" spans="2:11">
      <c r="B61" s="2"/>
      <c r="I61" s="13"/>
      <c r="K61" s="11"/>
    </row>
    <row r="62" spans="2:11">
      <c r="B62" s="2"/>
      <c r="G62" s="42">
        <f>SUM(G11:G60)</f>
        <v>1078597.4531610066</v>
      </c>
      <c r="H62" s="52">
        <f>SUM(H11:H60)</f>
        <v>0</v>
      </c>
      <c r="I62" s="43">
        <f>SUM(I11:I60)</f>
        <v>14048.101894667328</v>
      </c>
      <c r="K62" s="11"/>
    </row>
    <row r="63" spans="2:11">
      <c r="B63" s="2"/>
      <c r="I63" s="13"/>
      <c r="K63" s="11"/>
    </row>
    <row r="64" spans="2:11">
      <c r="B64" s="4"/>
      <c r="C64" s="12"/>
      <c r="D64" s="12"/>
      <c r="E64" s="22"/>
      <c r="F64" s="12"/>
      <c r="G64" s="12"/>
      <c r="H64" s="12"/>
      <c r="I64" s="14"/>
      <c r="K64" s="11"/>
    </row>
    <row r="65" spans="11:11">
      <c r="K65" s="11"/>
    </row>
    <row r="66" spans="11:11">
      <c r="K66" s="11"/>
    </row>
  </sheetData>
  <phoneticPr fontId="8" type="noConversion"/>
  <pageMargins left="1.1875" right="0.4" top="0.83333333333333337" bottom="0.83333333333333337" header="0.33333333333333337" footer="0.33333333333333337"/>
  <pageSetup paperSize="9" scale="80" orientation="portrait" horizontalDpi="300" r:id="rId1"/>
  <headerFooter alignWithMargins="0">
    <oddFooter>&amp;L&amp;"Arial"&amp;10 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B1:M67"/>
  <sheetViews>
    <sheetView showOutlineSymbols="0" zoomScale="90" workbookViewId="0">
      <selection activeCell="J67" sqref="J67"/>
    </sheetView>
  </sheetViews>
  <sheetFormatPr defaultRowHeight="13.2"/>
  <cols>
    <col min="3" max="4" width="15.109375" customWidth="1"/>
    <col min="5" max="5" width="13.88671875" customWidth="1"/>
    <col min="6" max="6" width="10.109375" customWidth="1"/>
    <col min="7" max="7" width="16.6640625" customWidth="1"/>
    <col min="8" max="8" width="17.109375" customWidth="1"/>
    <col min="11" max="11" width="12.6640625" customWidth="1"/>
    <col min="12" max="12" width="13.33203125" customWidth="1"/>
    <col min="13" max="13" width="15.33203125" customWidth="1"/>
  </cols>
  <sheetData>
    <row r="1" spans="2:13" ht="17.399999999999999">
      <c r="B1" s="16"/>
      <c r="C1" s="17"/>
      <c r="D1" s="17"/>
      <c r="E1" s="47" t="s">
        <v>35</v>
      </c>
      <c r="F1" s="44"/>
      <c r="G1" s="19"/>
      <c r="H1" s="20"/>
    </row>
    <row r="2" spans="2:13">
      <c r="B2" s="31" t="s">
        <v>28</v>
      </c>
      <c r="C2" s="11"/>
      <c r="D2" s="11"/>
      <c r="E2" s="15"/>
      <c r="F2" s="11"/>
      <c r="G2" s="11"/>
      <c r="H2" s="13"/>
    </row>
    <row r="3" spans="2:13">
      <c r="B3" s="2"/>
      <c r="C3" s="15" t="s">
        <v>29</v>
      </c>
      <c r="D3" s="15"/>
      <c r="E3" s="15"/>
      <c r="F3" s="49">
        <f>overzicht!I15</f>
        <v>0.25</v>
      </c>
      <c r="G3" s="15"/>
      <c r="H3" s="33">
        <f>F3*ontvangsten!I5</f>
        <v>12868.07028</v>
      </c>
      <c r="J3" s="1"/>
    </row>
    <row r="4" spans="2:13">
      <c r="B4" s="31"/>
      <c r="C4" s="15" t="s">
        <v>30</v>
      </c>
      <c r="D4" s="15"/>
      <c r="E4" s="15"/>
      <c r="F4" s="15">
        <f>overzicht!D12</f>
        <v>8</v>
      </c>
      <c r="G4" s="15" t="s">
        <v>55</v>
      </c>
      <c r="H4" s="34">
        <f>F4*overzicht!D9</f>
        <v>3200</v>
      </c>
    </row>
    <row r="5" spans="2:13">
      <c r="B5" s="31"/>
      <c r="C5" s="15" t="s">
        <v>31</v>
      </c>
      <c r="D5" s="15"/>
      <c r="E5" s="15"/>
      <c r="F5" s="15">
        <f>overzicht!D13</f>
        <v>15</v>
      </c>
      <c r="G5" s="15" t="s">
        <v>55</v>
      </c>
      <c r="H5" s="34">
        <f>F5*overzicht!D9</f>
        <v>6000</v>
      </c>
      <c r="K5" s="48"/>
      <c r="L5" s="48"/>
      <c r="M5" s="48"/>
    </row>
    <row r="6" spans="2:13">
      <c r="B6" s="2"/>
      <c r="C6" s="11" t="s">
        <v>32</v>
      </c>
      <c r="D6" s="11"/>
      <c r="E6" s="15"/>
      <c r="F6" s="62">
        <f>overzicht!I14</f>
        <v>0.5</v>
      </c>
      <c r="G6" s="11"/>
      <c r="H6" s="29">
        <f>SUM((F6/100)*overzicht!G25)</f>
        <v>2500</v>
      </c>
    </row>
    <row r="7" spans="2:13">
      <c r="B7" s="31"/>
      <c r="C7" s="15" t="s">
        <v>33</v>
      </c>
      <c r="D7" s="15"/>
      <c r="E7" s="15"/>
      <c r="F7" s="15"/>
      <c r="G7" s="15"/>
      <c r="H7" s="36">
        <f>SUM(H3:H6)</f>
        <v>24568.07028</v>
      </c>
      <c r="K7" s="11"/>
      <c r="L7" s="11"/>
      <c r="M7" s="11"/>
    </row>
    <row r="8" spans="2:13">
      <c r="B8" s="31"/>
      <c r="C8" s="15"/>
      <c r="D8" s="15"/>
      <c r="E8" s="15"/>
      <c r="F8" s="15"/>
      <c r="G8" s="15"/>
      <c r="H8" s="32"/>
      <c r="K8" s="11"/>
      <c r="L8" s="11"/>
      <c r="M8" s="11"/>
    </row>
    <row r="9" spans="2:13">
      <c r="B9" s="21"/>
      <c r="C9" s="22"/>
      <c r="D9" s="22"/>
      <c r="E9" s="22"/>
      <c r="F9" s="22"/>
      <c r="G9" s="22"/>
      <c r="H9" s="23"/>
      <c r="K9" s="11"/>
      <c r="L9" s="11"/>
      <c r="M9" s="11"/>
    </row>
    <row r="10" spans="2:13">
      <c r="B10" s="2"/>
      <c r="C10" s="11"/>
      <c r="D10" s="11"/>
      <c r="E10" s="15"/>
      <c r="F10" s="11"/>
      <c r="G10" s="11"/>
      <c r="H10" s="13"/>
      <c r="K10" s="11"/>
      <c r="L10" s="11"/>
      <c r="M10" s="11"/>
    </row>
    <row r="11" spans="2:13">
      <c r="B11" s="27" t="s">
        <v>17</v>
      </c>
      <c r="C11" s="24" t="s">
        <v>45</v>
      </c>
      <c r="D11" s="24" t="s">
        <v>46</v>
      </c>
      <c r="E11" s="30" t="s">
        <v>36</v>
      </c>
      <c r="F11" s="24" t="s">
        <v>22</v>
      </c>
      <c r="G11" s="24" t="s">
        <v>23</v>
      </c>
      <c r="H11" s="25" t="s">
        <v>23</v>
      </c>
      <c r="K11" s="11"/>
      <c r="L11" s="11"/>
      <c r="M11" s="11"/>
    </row>
    <row r="12" spans="2:13">
      <c r="B12" s="27">
        <f>overzicht!D10+overzicht!D11-1</f>
        <v>2052</v>
      </c>
      <c r="C12" s="24"/>
      <c r="D12" s="24" t="s">
        <v>34</v>
      </c>
      <c r="E12" s="30" t="s">
        <v>31</v>
      </c>
      <c r="F12" s="24"/>
      <c r="G12" s="24" t="s">
        <v>37</v>
      </c>
      <c r="H12" s="25" t="s">
        <v>38</v>
      </c>
    </row>
    <row r="13" spans="2:13">
      <c r="B13" s="2"/>
      <c r="C13" s="11"/>
      <c r="D13" s="11"/>
      <c r="E13" s="30"/>
      <c r="F13" s="11"/>
      <c r="G13" s="11"/>
      <c r="H13" s="13"/>
    </row>
    <row r="14" spans="2:13">
      <c r="B14" s="2">
        <f>overzicht!D10</f>
        <v>2013</v>
      </c>
      <c r="C14" s="11">
        <f>+H5</f>
        <v>6000</v>
      </c>
      <c r="D14" s="11">
        <f>H7-H5</f>
        <v>18568.07028</v>
      </c>
      <c r="E14" s="40">
        <v>0</v>
      </c>
      <c r="F14" s="11">
        <f>1/2</f>
        <v>0.5</v>
      </c>
      <c r="G14" s="11">
        <f>(C14+D14)/(1+overzicht!$I$11)^F14</f>
        <v>23862.619328363675</v>
      </c>
      <c r="H14" s="13">
        <f>E14*(1+overzicht!$I$13)^J14/(1+overzicht!$I$11)^F14</f>
        <v>0</v>
      </c>
    </row>
    <row r="15" spans="2:13">
      <c r="B15" s="2">
        <f t="shared" ref="B15:B46" si="0">B14+1</f>
        <v>2014</v>
      </c>
      <c r="C15" s="11">
        <f>IF($B$12&gt;=B15,+C14*(1+overzicht!$I$13),0)</f>
        <v>6195</v>
      </c>
      <c r="D15" s="11">
        <f>IF($B$12&gt;=B15,+D14*(1+overzicht!$I$12),0)</f>
        <v>18985.851861299998</v>
      </c>
      <c r="E15" s="40">
        <v>0</v>
      </c>
      <c r="F15" s="11">
        <f t="shared" ref="F15:F46" si="1">F14+1</f>
        <v>1.5</v>
      </c>
      <c r="G15" s="11">
        <f>(C15+D15)/(1+overzicht!$I$11)^F15</f>
        <v>23073.401334899325</v>
      </c>
      <c r="H15" s="13">
        <f>E15*(1+overzicht!$I$13)^J15/(1+overzicht!$I$11)^F15</f>
        <v>0</v>
      </c>
      <c r="J15">
        <v>1</v>
      </c>
    </row>
    <row r="16" spans="2:13">
      <c r="B16" s="2">
        <f t="shared" si="0"/>
        <v>2015</v>
      </c>
      <c r="C16" s="11">
        <f>IF($B$12&gt;=B16,+C15*(1+overzicht!$I$13),0)</f>
        <v>6396.3374999999996</v>
      </c>
      <c r="D16" s="11">
        <f>IF($B$12&gt;=B16,+D15*(1+overzicht!$I$12),0)</f>
        <v>19413.033528179247</v>
      </c>
      <c r="E16" s="40">
        <v>0</v>
      </c>
      <c r="F16" s="11">
        <f t="shared" si="1"/>
        <v>2.5</v>
      </c>
      <c r="G16" s="11">
        <f>(C16+D16)/(1+overzicht!$I$11)^F16</f>
        <v>22310.677461733412</v>
      </c>
      <c r="H16" s="13">
        <f>E16*(1+overzicht!$I$13)^J16/(1+overzicht!$I$11)^F16</f>
        <v>0</v>
      </c>
      <c r="J16">
        <v>2</v>
      </c>
    </row>
    <row r="17" spans="2:10">
      <c r="B17" s="2">
        <f t="shared" si="0"/>
        <v>2016</v>
      </c>
      <c r="C17" s="11">
        <f>IF($B$12&gt;=B17,+C16*(1+overzicht!$I$13),0)</f>
        <v>6604.2184687499994</v>
      </c>
      <c r="D17" s="11">
        <f>IF($B$12&gt;=B17,+D16*(1+overzicht!$I$12),0)</f>
        <v>19849.826782563279</v>
      </c>
      <c r="E17" s="40">
        <v>0</v>
      </c>
      <c r="F17" s="11">
        <f t="shared" si="1"/>
        <v>3.5</v>
      </c>
      <c r="G17" s="11">
        <f>(C17+D17)/(1+overzicht!$I$11)^F17</f>
        <v>21573.547420655897</v>
      </c>
      <c r="H17" s="13">
        <f>E17*(1+overzicht!$I$13)^J17/(1+overzicht!$I$11)^F17</f>
        <v>0</v>
      </c>
      <c r="J17">
        <v>3</v>
      </c>
    </row>
    <row r="18" spans="2:10">
      <c r="B18" s="2">
        <f t="shared" si="0"/>
        <v>2017</v>
      </c>
      <c r="C18" s="11">
        <f>IF($B$12&gt;=B18,+C17*(1+overzicht!$I$13),0)</f>
        <v>6818.8555689843743</v>
      </c>
      <c r="D18" s="11">
        <f>IF($B$12&gt;=B18,+D17*(1+overzicht!$I$12),0)</f>
        <v>20296.447885170954</v>
      </c>
      <c r="E18" s="40">
        <v>0</v>
      </c>
      <c r="F18" s="11">
        <f t="shared" si="1"/>
        <v>4.5</v>
      </c>
      <c r="G18" s="11">
        <f>(C18+D18)/(1+overzicht!$I$11)^F18</f>
        <v>20861.141813271708</v>
      </c>
      <c r="H18" s="13">
        <f>E18*(1+overzicht!$I$13)^J18/(1+overzicht!$I$11)^F18</f>
        <v>0</v>
      </c>
      <c r="J18">
        <v>4</v>
      </c>
    </row>
    <row r="19" spans="2:10">
      <c r="B19" s="2">
        <f t="shared" si="0"/>
        <v>2018</v>
      </c>
      <c r="C19" s="11">
        <f>IF($B$12&gt;=B19,+C18*(1+overzicht!$I$13),0)</f>
        <v>7040.4683749763662</v>
      </c>
      <c r="D19" s="11">
        <f>IF($B$12&gt;=B19,+D18*(1+overzicht!$I$12),0)</f>
        <v>20753.117962587301</v>
      </c>
      <c r="E19" s="40">
        <v>0</v>
      </c>
      <c r="F19" s="11">
        <f t="shared" si="1"/>
        <v>5.5</v>
      </c>
      <c r="G19" s="11">
        <f>(C19+D19)/(1+overzicht!$I$11)^F19</f>
        <v>20172.621063106482</v>
      </c>
      <c r="H19" s="13">
        <f>E19*(1+overzicht!$I$13)^J19/(1+overzicht!$I$11)^F19</f>
        <v>0</v>
      </c>
      <c r="J19">
        <v>5</v>
      </c>
    </row>
    <row r="20" spans="2:10">
      <c r="B20" s="2">
        <f t="shared" si="0"/>
        <v>2019</v>
      </c>
      <c r="C20" s="11">
        <f>IF($B$12&gt;=B20,+C19*(1+overzicht!$I$13),0)</f>
        <v>7269.2835971630975</v>
      </c>
      <c r="D20" s="11">
        <f>IF($B$12&gt;=B20,+D19*(1+overzicht!$I$12),0)</f>
        <v>21220.063116745514</v>
      </c>
      <c r="E20" s="40">
        <v>0</v>
      </c>
      <c r="F20" s="11">
        <f t="shared" si="1"/>
        <v>6.5</v>
      </c>
      <c r="G20" s="11">
        <f>(C20+D20)/(1+overzicht!$I$11)^F20</f>
        <v>19507.174384845352</v>
      </c>
      <c r="H20" s="13">
        <f>E20*(1+overzicht!$I$13)^J20/(1+overzicht!$I$11)^F20</f>
        <v>0</v>
      </c>
      <c r="J20">
        <v>6</v>
      </c>
    </row>
    <row r="21" spans="2:10">
      <c r="B21" s="2">
        <f t="shared" si="0"/>
        <v>2020</v>
      </c>
      <c r="C21" s="11">
        <f>IF($B$12&gt;=B21,+C20*(1+overzicht!$I$13),0)</f>
        <v>7505.5353140708976</v>
      </c>
      <c r="D21" s="11">
        <f>IF($B$12&gt;=B21,+D20*(1+overzicht!$I$12),0)</f>
        <v>21697.514536872288</v>
      </c>
      <c r="E21" s="40">
        <v>0</v>
      </c>
      <c r="F21" s="11">
        <f t="shared" si="1"/>
        <v>7.5</v>
      </c>
      <c r="G21" s="11">
        <f>(C21+D21)/(1+overzicht!$I$11)^F21</f>
        <v>18864.018789408055</v>
      </c>
      <c r="H21" s="13">
        <f>E21*(1+overzicht!$I$13)^J21/(1+overzicht!$I$11)^F21</f>
        <v>0</v>
      </c>
      <c r="J21">
        <v>7</v>
      </c>
    </row>
    <row r="22" spans="2:10">
      <c r="B22" s="2">
        <f t="shared" si="0"/>
        <v>2021</v>
      </c>
      <c r="C22" s="11">
        <f>IF($B$12&gt;=B22,+C21*(1+overzicht!$I$13),0)</f>
        <v>7749.4652117782016</v>
      </c>
      <c r="D22" s="11">
        <f>IF($B$12&gt;=B22,+D21*(1+overzicht!$I$12),0)</f>
        <v>22185.708613951912</v>
      </c>
      <c r="E22" s="40">
        <v>0</v>
      </c>
      <c r="F22" s="11">
        <f t="shared" si="1"/>
        <v>8.5</v>
      </c>
      <c r="G22" s="11">
        <f>(C22+D22)/(1+overzicht!$I$11)^F22</f>
        <v>18242.398123608764</v>
      </c>
      <c r="H22" s="13">
        <f>E22*(1+overzicht!$I$13)^J22/(1+overzicht!$I$11)^F22</f>
        <v>0</v>
      </c>
      <c r="J22">
        <v>8</v>
      </c>
    </row>
    <row r="23" spans="2:10">
      <c r="B23" s="2">
        <f t="shared" si="0"/>
        <v>2022</v>
      </c>
      <c r="C23" s="11">
        <f>IF($B$12&gt;=B23,+C22*(1+overzicht!$I$13),0)</f>
        <v>8001.3228311609928</v>
      </c>
      <c r="D23" s="11">
        <f>IF($B$12&gt;=B23,+D22*(1+overzicht!$I$12),0)</f>
        <v>22684.887057765831</v>
      </c>
      <c r="E23" s="40">
        <v>0</v>
      </c>
      <c r="F23" s="11">
        <f t="shared" si="1"/>
        <v>9.5</v>
      </c>
      <c r="G23" s="11">
        <f>(C23+D23)/(1+overzicht!$I$11)^F23</f>
        <v>17641.582143193053</v>
      </c>
      <c r="H23" s="13">
        <f>E23*(1+overzicht!$I$13)^J23/(1+overzicht!$I$11)^F23</f>
        <v>0</v>
      </c>
      <c r="J23">
        <v>9</v>
      </c>
    </row>
    <row r="24" spans="2:10">
      <c r="B24" s="2">
        <f t="shared" si="0"/>
        <v>2023</v>
      </c>
      <c r="C24" s="11">
        <f>IF($B$12&gt;=B24,+C23*(1+overzicht!$I$13),0)</f>
        <v>8261.3658231737245</v>
      </c>
      <c r="D24" s="11">
        <f>IF($B$12&gt;=B24,+D23*(1+overzicht!$I$12),0)</f>
        <v>23195.297016565561</v>
      </c>
      <c r="E24" s="40">
        <v>0</v>
      </c>
      <c r="F24" s="11">
        <f t="shared" si="1"/>
        <v>10.5</v>
      </c>
      <c r="G24" s="11">
        <f>(C24+D24)/(1+overzicht!$I$11)^F24</f>
        <v>17060.865618086773</v>
      </c>
      <c r="H24" s="13">
        <f>E24*(1+overzicht!$I$13)^J24/(1+overzicht!$I$11)^F24</f>
        <v>0</v>
      </c>
      <c r="J24">
        <v>10</v>
      </c>
    </row>
    <row r="25" spans="2:10">
      <c r="B25" s="2">
        <f t="shared" si="0"/>
        <v>2024</v>
      </c>
      <c r="C25" s="11">
        <f>IF($B$12&gt;=B25,+C24*(1+overzicht!$I$13),0)</f>
        <v>8529.8602124268709</v>
      </c>
      <c r="D25" s="11">
        <f>IF($B$12&gt;=B25,+D24*(1+overzicht!$I$12),0)</f>
        <v>23717.191199438286</v>
      </c>
      <c r="E25" s="40">
        <v>0</v>
      </c>
      <c r="F25" s="11">
        <f t="shared" si="1"/>
        <v>11.5</v>
      </c>
      <c r="G25" s="11">
        <f>(C25+D25)/(1+overzicht!$I$11)^F25</f>
        <v>16499.567468732228</v>
      </c>
      <c r="H25" s="13">
        <f>E25*(1+overzicht!$I$13)^J25/(1+overzicht!$I$11)^F25</f>
        <v>0</v>
      </c>
      <c r="J25">
        <v>11</v>
      </c>
    </row>
    <row r="26" spans="2:10">
      <c r="B26" s="2">
        <f t="shared" si="0"/>
        <v>2025</v>
      </c>
      <c r="C26" s="11">
        <f>IF($B$12&gt;=B26,+C25*(1+overzicht!$I$13),0)</f>
        <v>8807.0806693307441</v>
      </c>
      <c r="D26" s="11">
        <f>IF($B$12&gt;=B26,+D25*(1+overzicht!$I$12),0)</f>
        <v>24250.828001425645</v>
      </c>
      <c r="E26" s="40">
        <v>0</v>
      </c>
      <c r="F26" s="11">
        <f t="shared" si="1"/>
        <v>12.5</v>
      </c>
      <c r="G26" s="11">
        <f>(C26+D26)/(1+overzicht!$I$11)^F26</f>
        <v>15957.029932426703</v>
      </c>
      <c r="H26" s="13">
        <f>E26*(1+overzicht!$I$13)^J26/(1+overzicht!$I$11)^F26</f>
        <v>0</v>
      </c>
      <c r="J26">
        <v>12</v>
      </c>
    </row>
    <row r="27" spans="2:10">
      <c r="B27" s="2">
        <f t="shared" si="0"/>
        <v>2026</v>
      </c>
      <c r="C27" s="11">
        <f>IF($B$12&gt;=B27,+C26*(1+overzicht!$I$13),0)</f>
        <v>9093.3107910839935</v>
      </c>
      <c r="D27" s="11">
        <f>IF($B$12&gt;=B27,+D26*(1+overzicht!$I$12),0)</f>
        <v>24796.47163145772</v>
      </c>
      <c r="E27" s="40">
        <v>0</v>
      </c>
      <c r="F27" s="11">
        <f t="shared" si="1"/>
        <v>13.5</v>
      </c>
      <c r="G27" s="11">
        <f>(C27+D27)/(1+overzicht!$I$11)^F27</f>
        <v>15432.617758616121</v>
      </c>
      <c r="H27" s="13">
        <f>E27*(1+overzicht!$I$13)^J27/(1+overzicht!$I$11)^F27</f>
        <v>0</v>
      </c>
      <c r="J27">
        <v>13</v>
      </c>
    </row>
    <row r="28" spans="2:10">
      <c r="B28" s="2">
        <f t="shared" si="0"/>
        <v>2027</v>
      </c>
      <c r="C28" s="11">
        <f>IF($B$12&gt;=B28,+C27*(1+overzicht!$I$13),0)</f>
        <v>9388.8433917942239</v>
      </c>
      <c r="D28" s="11">
        <f>IF($B$12&gt;=B28,+D27*(1+overzicht!$I$12),0)</f>
        <v>25354.392243165519</v>
      </c>
      <c r="E28" s="40">
        <v>0</v>
      </c>
      <c r="F28" s="11">
        <f t="shared" si="1"/>
        <v>14.5</v>
      </c>
      <c r="G28" s="11">
        <f>(C28+D28)/(1+overzicht!$I$11)^F28</f>
        <v>14925.717432133535</v>
      </c>
      <c r="H28" s="13">
        <f>E28*(1+overzicht!$I$13)^J28/(1+overzicht!$I$11)^F28</f>
        <v>0</v>
      </c>
      <c r="J28">
        <v>14</v>
      </c>
    </row>
    <row r="29" spans="2:10">
      <c r="B29" s="2">
        <f t="shared" si="0"/>
        <v>2028</v>
      </c>
      <c r="C29" s="11">
        <f>IF($B$12&gt;=B29,+C28*(1+overzicht!$I$13),0)</f>
        <v>9693.9808020275359</v>
      </c>
      <c r="D29" s="11">
        <f>IF($B$12&gt;=B29,+D28*(1+overzicht!$I$12),0)</f>
        <v>25924.866068636744</v>
      </c>
      <c r="E29" s="40">
        <v>0</v>
      </c>
      <c r="F29" s="11">
        <f t="shared" si="1"/>
        <v>15.5</v>
      </c>
      <c r="G29" s="11">
        <f>(C29+D29)/(1+overzicht!$I$11)^F29</f>
        <v>14435.736423407339</v>
      </c>
      <c r="H29" s="13">
        <f>E29*(1+overzicht!$I$13)^J29/(1+overzicht!$I$11)^F29</f>
        <v>0</v>
      </c>
      <c r="J29">
        <v>15</v>
      </c>
    </row>
    <row r="30" spans="2:10">
      <c r="B30" s="2">
        <f t="shared" si="0"/>
        <v>2029</v>
      </c>
      <c r="C30" s="11">
        <f>IF($B$12&gt;=B30,+C29*(1+overzicht!$I$13),0)</f>
        <v>10009.035178093431</v>
      </c>
      <c r="D30" s="11">
        <f>IF($B$12&gt;=B30,+D29*(1+overzicht!$I$12),0)</f>
        <v>26508.175555181071</v>
      </c>
      <c r="E30" s="40">
        <v>0</v>
      </c>
      <c r="F30" s="11">
        <f t="shared" si="1"/>
        <v>16.5</v>
      </c>
      <c r="G30" s="11">
        <f>(C30+D30)/(1+overzicht!$I$11)^F30</f>
        <v>13962.102464698359</v>
      </c>
      <c r="H30" s="13">
        <f>E30*(1+overzicht!$I$13)^J30/(1+overzicht!$I$11)^F30</f>
        <v>0</v>
      </c>
      <c r="J30">
        <v>16</v>
      </c>
    </row>
    <row r="31" spans="2:10">
      <c r="B31" s="2">
        <f t="shared" si="0"/>
        <v>2030</v>
      </c>
      <c r="C31" s="11">
        <f>IF($B$12&gt;=B31,+C30*(1+overzicht!$I$13),0)</f>
        <v>10334.328821381467</v>
      </c>
      <c r="D31" s="11">
        <f>IF($B$12&gt;=B31,+D30*(1+overzicht!$I$12),0)</f>
        <v>27104.609505172644</v>
      </c>
      <c r="E31" s="40">
        <v>0</v>
      </c>
      <c r="F31" s="11">
        <f t="shared" si="1"/>
        <v>17.5</v>
      </c>
      <c r="G31" s="11">
        <f>(C31+D31)/(1+overzicht!$I$11)^F31</f>
        <v>13504.262851457881</v>
      </c>
      <c r="H31" s="13">
        <f>E31*(1+overzicht!$I$13)^J31/(1+overzicht!$I$11)^F31</f>
        <v>0</v>
      </c>
      <c r="J31">
        <v>17</v>
      </c>
    </row>
    <row r="32" spans="2:10">
      <c r="B32" s="2">
        <f t="shared" si="0"/>
        <v>2031</v>
      </c>
      <c r="C32" s="11">
        <f>IF($B$12&gt;=B32,+C31*(1+overzicht!$I$13),0)</f>
        <v>10670.194508076363</v>
      </c>
      <c r="D32" s="11">
        <f>IF($B$12&gt;=B32,+D31*(1+overzicht!$I$12),0)</f>
        <v>27714.463219039029</v>
      </c>
      <c r="E32" s="40">
        <v>0</v>
      </c>
      <c r="F32" s="11">
        <f t="shared" si="1"/>
        <v>18.5</v>
      </c>
      <c r="G32" s="11">
        <f>(C32+D32)/(1+overzicht!$I$11)^F32</f>
        <v>13061.683767930426</v>
      </c>
      <c r="H32" s="13">
        <f>E32*(1+overzicht!$I$13)^J32/(1+overzicht!$I$11)^F32</f>
        <v>0</v>
      </c>
      <c r="J32">
        <v>18</v>
      </c>
    </row>
    <row r="33" spans="2:10">
      <c r="B33" s="2">
        <f t="shared" si="0"/>
        <v>2032</v>
      </c>
      <c r="C33" s="11">
        <f>IF($B$12&gt;=B33,+C32*(1+overzicht!$I$13),0)</f>
        <v>11016.975829588844</v>
      </c>
      <c r="D33" s="11">
        <f>IF($B$12&gt;=B33,+D32*(1+overzicht!$I$12),0)</f>
        <v>28338.038641467407</v>
      </c>
      <c r="E33" s="40">
        <v>0</v>
      </c>
      <c r="F33" s="11">
        <f t="shared" si="1"/>
        <v>19.5</v>
      </c>
      <c r="G33" s="11">
        <f>(C33+D33)/(1+overzicht!$I$11)^F33</f>
        <v>12633.849636155795</v>
      </c>
      <c r="H33" s="13">
        <f>E33*(1+overzicht!$I$13)^J33/(1+overzicht!$I$11)^F33</f>
        <v>0</v>
      </c>
      <c r="J33">
        <v>19</v>
      </c>
    </row>
    <row r="34" spans="2:10">
      <c r="B34" s="2">
        <f t="shared" si="0"/>
        <v>2033</v>
      </c>
      <c r="C34" s="11">
        <f>IF($B$12&gt;=B34,+C33*(1+overzicht!$I$13),0)</f>
        <v>11375.027544050481</v>
      </c>
      <c r="D34" s="11">
        <f>IF($B$12&gt;=B34,+D33*(1+overzicht!$I$12),0)</f>
        <v>28975.644510900423</v>
      </c>
      <c r="E34" s="40">
        <f>0.2*overzicht!G25</f>
        <v>100000</v>
      </c>
      <c r="F34" s="11">
        <f t="shared" si="1"/>
        <v>20.5</v>
      </c>
      <c r="G34" s="11">
        <f>(C34+D34)/(1+overzicht!$I$11)^F34</f>
        <v>12220.262487554532</v>
      </c>
      <c r="H34" s="13">
        <f>E34*(1+overzicht!$I$13)^J34/(1+overzicht!$I$11)^F34</f>
        <v>57415.740272411851</v>
      </c>
      <c r="J34">
        <v>20</v>
      </c>
    </row>
    <row r="35" spans="2:10">
      <c r="B35" s="2">
        <f t="shared" si="0"/>
        <v>2034</v>
      </c>
      <c r="C35" s="11">
        <f>IF($B$12&gt;=B35,+C34*(1+overzicht!$I$13),0)</f>
        <v>11744.715939232121</v>
      </c>
      <c r="D35" s="11">
        <f>IF($B$12&gt;=B35,+D34*(1+overzicht!$I$12),0)</f>
        <v>29627.596512395681</v>
      </c>
      <c r="E35" s="40">
        <v>0</v>
      </c>
      <c r="F35" s="11">
        <f t="shared" si="1"/>
        <v>21.5</v>
      </c>
      <c r="G35" s="11">
        <f>(C35+D35)/(1+overzicht!$I$11)^F35</f>
        <v>11820.441356309389</v>
      </c>
      <c r="H35" s="13">
        <f>E35*(1+overzicht!$I$13)^J35/(1+overzicht!$I$11)^F35</f>
        <v>0</v>
      </c>
      <c r="J35">
        <v>21</v>
      </c>
    </row>
    <row r="36" spans="2:10">
      <c r="B36" s="2">
        <f t="shared" si="0"/>
        <v>2035</v>
      </c>
      <c r="C36" s="11">
        <f>IF($B$12&gt;=B36,+C35*(1+overzicht!$I$13),0)</f>
        <v>12126.419207257164</v>
      </c>
      <c r="D36" s="11">
        <f>IF($B$12&gt;=B36,+D35*(1+overzicht!$I$12),0)</f>
        <v>30294.217433924583</v>
      </c>
      <c r="E36" s="40">
        <v>0</v>
      </c>
      <c r="F36" s="11">
        <f t="shared" si="1"/>
        <v>22.5</v>
      </c>
      <c r="G36" s="11">
        <f>(C36+D36)/(1+overzicht!$I$11)^F36</f>
        <v>11433.921693783097</v>
      </c>
      <c r="H36" s="13">
        <f>E36*(1+overzicht!$I$13)^J36/(1+overzicht!$I$11)^F36</f>
        <v>0</v>
      </c>
      <c r="J36">
        <v>22</v>
      </c>
    </row>
    <row r="37" spans="2:10">
      <c r="B37" s="2">
        <f t="shared" si="0"/>
        <v>2036</v>
      </c>
      <c r="C37" s="11">
        <f>IF($B$12&gt;=B37,+C36*(1+overzicht!$I$13),0)</f>
        <v>12520.527831493022</v>
      </c>
      <c r="D37" s="11">
        <f>IF($B$12&gt;=B37,+D36*(1+overzicht!$I$12),0)</f>
        <v>30975.837326187884</v>
      </c>
      <c r="E37" s="40">
        <v>0</v>
      </c>
      <c r="F37" s="11">
        <f t="shared" si="1"/>
        <v>23.5</v>
      </c>
      <c r="G37" s="11">
        <f>(C37+D37)/(1+overzicht!$I$11)^F37</f>
        <v>11060.254803239157</v>
      </c>
      <c r="H37" s="13">
        <f>E37*(1+overzicht!$I$13)^J37/(1+overzicht!$I$11)^F37</f>
        <v>0</v>
      </c>
      <c r="J37">
        <v>23</v>
      </c>
    </row>
    <row r="38" spans="2:10">
      <c r="B38" s="2">
        <f t="shared" si="0"/>
        <v>2037</v>
      </c>
      <c r="C38" s="11">
        <f>IF($B$12&gt;=B38,+C37*(1+overzicht!$I$13),0)</f>
        <v>12927.444986016544</v>
      </c>
      <c r="D38" s="11">
        <f>IF($B$12&gt;=B38,+D37*(1+overzicht!$I$12),0)</f>
        <v>31672.793666027112</v>
      </c>
      <c r="E38" s="40">
        <v>0</v>
      </c>
      <c r="F38" s="11">
        <f t="shared" si="1"/>
        <v>24.5</v>
      </c>
      <c r="G38" s="11">
        <f>(C38+D38)/(1+overzicht!$I$11)^F38</f>
        <v>10699.00729415816</v>
      </c>
      <c r="H38" s="13">
        <f>E38*(1+overzicht!$I$13)^J38/(1+overzicht!$I$11)^F38</f>
        <v>0</v>
      </c>
      <c r="J38">
        <v>24</v>
      </c>
    </row>
    <row r="39" spans="2:10">
      <c r="B39" s="2">
        <f t="shared" si="0"/>
        <v>2038</v>
      </c>
      <c r="C39" s="11">
        <f>IF($B$12&gt;=B39,+C38*(1+overzicht!$I$13),0)</f>
        <v>13347.586948062082</v>
      </c>
      <c r="D39" s="11">
        <f>IF($B$12&gt;=B39,+D38*(1+overzicht!$I$12),0)</f>
        <v>32385.431523512721</v>
      </c>
      <c r="E39" s="40">
        <v>0</v>
      </c>
      <c r="F39" s="11">
        <f t="shared" si="1"/>
        <v>25.5</v>
      </c>
      <c r="G39" s="11">
        <f>(C39+D39)/(1+overzicht!$I$11)^F39</f>
        <v>10349.760555466839</v>
      </c>
      <c r="H39" s="13">
        <f>E39*(1+overzicht!$I$13)^J39/(1+overzicht!$I$11)^F39</f>
        <v>0</v>
      </c>
      <c r="J39">
        <v>25</v>
      </c>
    </row>
    <row r="40" spans="2:10">
      <c r="B40" s="2">
        <f t="shared" si="0"/>
        <v>2039</v>
      </c>
      <c r="C40" s="11">
        <f>IF($B$12&gt;=B40,+C39*(1+overzicht!$I$13),0)</f>
        <v>13781.383523874099</v>
      </c>
      <c r="D40" s="11">
        <f>IF($B$12&gt;=B40,+D39*(1+overzicht!$I$12),0)</f>
        <v>33114.103732791758</v>
      </c>
      <c r="E40" s="40">
        <v>0</v>
      </c>
      <c r="F40" s="11">
        <f t="shared" si="1"/>
        <v>26.5</v>
      </c>
      <c r="G40" s="11">
        <f>(C40+D40)/(1+overzicht!$I$11)^F40</f>
        <v>10012.110247020919</v>
      </c>
      <c r="H40" s="13">
        <f>E40*(1+overzicht!$I$13)^J40/(1+overzicht!$I$11)^F40</f>
        <v>0</v>
      </c>
      <c r="J40">
        <v>26</v>
      </c>
    </row>
    <row r="41" spans="2:10">
      <c r="B41" s="2">
        <f t="shared" si="0"/>
        <v>2040</v>
      </c>
      <c r="C41" s="11">
        <f>IF($B$12&gt;=B41,+C40*(1+overzicht!$I$13),0)</f>
        <v>14229.278488400007</v>
      </c>
      <c r="D41" s="11">
        <f>IF($B$12&gt;=B41,+D40*(1+overzicht!$I$12),0)</f>
        <v>33859.171066779571</v>
      </c>
      <c r="E41" s="40">
        <v>0</v>
      </c>
      <c r="F41" s="11">
        <f t="shared" si="1"/>
        <v>27.5</v>
      </c>
      <c r="G41" s="11">
        <f>(C41+D41)/(1+overzicht!$I$11)^F41</f>
        <v>9685.6658087059113</v>
      </c>
      <c r="H41" s="13">
        <f>E41*(1+overzicht!$I$13)^J41/(1+overzicht!$I$11)^F41</f>
        <v>0</v>
      </c>
      <c r="J41">
        <v>27</v>
      </c>
    </row>
    <row r="42" spans="2:10">
      <c r="B42" s="2">
        <f t="shared" si="0"/>
        <v>2041</v>
      </c>
      <c r="C42" s="11">
        <f>IF($B$12&gt;=B42,+C41*(1+overzicht!$I$13),0)</f>
        <v>14691.730039273007</v>
      </c>
      <c r="D42" s="11">
        <f>IF($B$12&gt;=B42,+D41*(1+overzicht!$I$12),0)</f>
        <v>34621.00241578211</v>
      </c>
      <c r="E42" s="40">
        <v>0</v>
      </c>
      <c r="F42" s="11">
        <f t="shared" si="1"/>
        <v>28.5</v>
      </c>
      <c r="G42" s="11">
        <f>(C42+D42)/(1+overzicht!$I$11)^F42</f>
        <v>9370.0499865422644</v>
      </c>
      <c r="H42" s="13">
        <f>E42*(1+overzicht!$I$13)^J42/(1+overzicht!$I$11)^F42</f>
        <v>0</v>
      </c>
      <c r="J42">
        <v>28</v>
      </c>
    </row>
    <row r="43" spans="2:10">
      <c r="B43" s="2">
        <f t="shared" si="0"/>
        <v>2042</v>
      </c>
      <c r="C43" s="11">
        <f>IF($B$12&gt;=B43,+C42*(1+overzicht!$I$13),0)</f>
        <v>15169.211265549378</v>
      </c>
      <c r="D43" s="11">
        <f>IF($B$12&gt;=B43,+D42*(1+overzicht!$I$12),0)</f>
        <v>35399.974970137206</v>
      </c>
      <c r="E43" s="40">
        <v>0</v>
      </c>
      <c r="F43" s="11">
        <f t="shared" si="1"/>
        <v>29.5</v>
      </c>
      <c r="G43" s="11">
        <f>(C43+D43)/(1+overzicht!$I$11)^F43</f>
        <v>9064.8983752026179</v>
      </c>
      <c r="H43" s="13">
        <f>E43*(1+overzicht!$I$13)^J43/(1+overzicht!$I$11)^F43</f>
        <v>0</v>
      </c>
      <c r="J43">
        <v>29</v>
      </c>
    </row>
    <row r="44" spans="2:10">
      <c r="B44" s="2">
        <f t="shared" si="0"/>
        <v>2043</v>
      </c>
      <c r="C44" s="11">
        <f>IF($B$12&gt;=B44,+C43*(1+overzicht!$I$13),0)</f>
        <v>15662.210631679733</v>
      </c>
      <c r="D44" s="11">
        <f>IF($B$12&gt;=B44,+D43*(1+overzicht!$I$12),0)</f>
        <v>36196.474406965288</v>
      </c>
      <c r="E44" s="40">
        <v>0</v>
      </c>
      <c r="F44" s="11">
        <f t="shared" si="1"/>
        <v>30.5</v>
      </c>
      <c r="G44" s="11">
        <f>(C44+D44)/(1+overzicht!$I$11)^F44</f>
        <v>8769.8589763698074</v>
      </c>
      <c r="H44" s="13">
        <f>E44*(1+overzicht!$I$13)^J44/(1+overzicht!$I$11)^F44</f>
        <v>0</v>
      </c>
      <c r="J44">
        <v>30</v>
      </c>
    </row>
    <row r="45" spans="2:10">
      <c r="B45" s="2">
        <f t="shared" si="0"/>
        <v>2044</v>
      </c>
      <c r="C45" s="11">
        <f>IF($B$12&gt;=B45,+C44*(1+overzicht!$I$13),0)</f>
        <v>16171.232477209323</v>
      </c>
      <c r="D45" s="11">
        <f>IF($B$12&gt;=B45,+D44*(1+overzicht!$I$12),0)</f>
        <v>37010.895081122006</v>
      </c>
      <c r="E45" s="40">
        <v>0</v>
      </c>
      <c r="F45" s="11">
        <f t="shared" si="1"/>
        <v>31.5</v>
      </c>
      <c r="G45" s="11">
        <f>(C45+D45)/(1+overzicht!$I$11)^F45</f>
        <v>8484.5917723840503</v>
      </c>
      <c r="H45" s="13">
        <f>E45*(1+overzicht!$I$13)^J45/(1+overzicht!$I$11)^F45</f>
        <v>0</v>
      </c>
      <c r="J45">
        <v>31</v>
      </c>
    </row>
    <row r="46" spans="2:10">
      <c r="B46" s="2">
        <f t="shared" si="0"/>
        <v>2045</v>
      </c>
      <c r="C46" s="11">
        <f>IF($B$12&gt;=B46,+C45*(1+overzicht!$I$13),0)</f>
        <v>16696.797532718625</v>
      </c>
      <c r="D46" s="11">
        <f>IF($B$12&gt;=B46,+D45*(1+overzicht!$I$12),0)</f>
        <v>37843.640220447247</v>
      </c>
      <c r="E46" s="40">
        <v>0</v>
      </c>
      <c r="F46" s="11">
        <f t="shared" si="1"/>
        <v>32.5</v>
      </c>
      <c r="G46" s="11">
        <f>(C46+D46)/(1+overzicht!$I$11)^F46</f>
        <v>8208.76831464717</v>
      </c>
      <c r="H46" s="13">
        <f>E46*(1+overzicht!$I$13)^J46/(1+overzicht!$I$11)^F46</f>
        <v>0</v>
      </c>
      <c r="J46">
        <v>32</v>
      </c>
    </row>
    <row r="47" spans="2:10">
      <c r="B47" s="2">
        <f t="shared" ref="B47:B63" si="2">B46+1</f>
        <v>2046</v>
      </c>
      <c r="C47" s="11">
        <f>IF($B$12&gt;=B47,+C46*(1+overzicht!$I$13),0)</f>
        <v>17239.443452531981</v>
      </c>
      <c r="D47" s="11">
        <f>IF($B$12&gt;=B47,+D46*(1+overzicht!$I$12),0)</f>
        <v>38695.12212540731</v>
      </c>
      <c r="E47" s="40">
        <v>0</v>
      </c>
      <c r="F47" s="11">
        <f t="shared" ref="F47:F63" si="3">F46+1</f>
        <v>33.5</v>
      </c>
      <c r="G47" s="11">
        <f>(C47+D47)/(1+overzicht!$I$11)^F47</f>
        <v>7942.0713262702056</v>
      </c>
      <c r="H47" s="13">
        <f>E47*(1+overzicht!$I$13)^J47/(1+overzicht!$I$11)^F47</f>
        <v>0</v>
      </c>
      <c r="J47">
        <v>33</v>
      </c>
    </row>
    <row r="48" spans="2:10">
      <c r="B48" s="2">
        <f t="shared" si="2"/>
        <v>2047</v>
      </c>
      <c r="C48" s="11">
        <f>IF($B$12&gt;=B48,+C47*(1+overzicht!$I$13),0)</f>
        <v>17799.725364739272</v>
      </c>
      <c r="D48" s="11">
        <f>IF($B$12&gt;=B48,+D47*(1+overzicht!$I$12),0)</f>
        <v>39565.762373228972</v>
      </c>
      <c r="E48" s="40">
        <v>0</v>
      </c>
      <c r="F48" s="11">
        <f t="shared" si="3"/>
        <v>34.5</v>
      </c>
      <c r="G48" s="11">
        <f>(C48+D48)/(1+overzicht!$I$11)^F48</f>
        <v>7684.1943184687962</v>
      </c>
      <c r="H48" s="13">
        <f>E48*(1+overzicht!$I$13)^J48/(1+overzicht!$I$11)^F48</f>
        <v>0</v>
      </c>
      <c r="J48">
        <v>34</v>
      </c>
    </row>
    <row r="49" spans="2:10">
      <c r="B49" s="2">
        <f t="shared" si="2"/>
        <v>2048</v>
      </c>
      <c r="C49" s="11">
        <f>IF($B$12&gt;=B49,+C48*(1+overzicht!$I$13),0)</f>
        <v>18378.216439093299</v>
      </c>
      <c r="D49" s="11">
        <f>IF($B$12&gt;=B49,+D48*(1+overzicht!$I$12),0)</f>
        <v>40455.99202662662</v>
      </c>
      <c r="E49" s="40">
        <v>0</v>
      </c>
      <c r="F49" s="11">
        <f t="shared" si="3"/>
        <v>35.5</v>
      </c>
      <c r="G49" s="11">
        <f>(C49+D49)/(1+overzicht!$I$11)^F49</f>
        <v>7434.8412202279942</v>
      </c>
      <c r="H49" s="13">
        <f>E49*(1+overzicht!$I$13)^J49/(1+overzicht!$I$11)^F49</f>
        <v>0</v>
      </c>
      <c r="J49">
        <v>35</v>
      </c>
    </row>
    <row r="50" spans="2:10">
      <c r="B50" s="2">
        <f t="shared" si="2"/>
        <v>2049</v>
      </c>
      <c r="C50" s="11">
        <f>IF($B$12&gt;=B50,+C49*(1+overzicht!$I$13),0)</f>
        <v>18975.508473363832</v>
      </c>
      <c r="D50" s="11">
        <f>IF($B$12&gt;=B50,+D49*(1+overzicht!$I$12),0)</f>
        <v>41366.251847225714</v>
      </c>
      <c r="E50" s="40">
        <v>0</v>
      </c>
      <c r="F50" s="11">
        <f t="shared" si="3"/>
        <v>36.5</v>
      </c>
      <c r="G50" s="11">
        <f>(C50+D50)/(1+overzicht!$I$11)^F50</f>
        <v>7193.7260207749041</v>
      </c>
      <c r="H50" s="13">
        <f>E50*(1+overzicht!$I$13)^J50/(1+overzicht!$I$11)^F50</f>
        <v>0</v>
      </c>
      <c r="J50">
        <v>36</v>
      </c>
    </row>
    <row r="51" spans="2:10">
      <c r="B51" s="2">
        <f t="shared" si="2"/>
        <v>2050</v>
      </c>
      <c r="C51" s="11">
        <f>IF($B$12&gt;=B51,+C50*(1+overzicht!$I$13),0)</f>
        <v>19592.212498748155</v>
      </c>
      <c r="D51" s="11">
        <f>IF($B$12&gt;=B51,+D50*(1+overzicht!$I$12),0)</f>
        <v>42296.992513788289</v>
      </c>
      <c r="E51" s="40">
        <v>0</v>
      </c>
      <c r="F51" s="11">
        <f t="shared" si="3"/>
        <v>37.5</v>
      </c>
      <c r="G51" s="11">
        <f>(C51+D51)/(1+overzicht!$I$11)^F51</f>
        <v>6960.5724244136227</v>
      </c>
      <c r="H51" s="13">
        <f>E51*(1+overzicht!$I$13)^J51/(1+overzicht!$I$11)^F51</f>
        <v>0</v>
      </c>
      <c r="J51">
        <v>37</v>
      </c>
    </row>
    <row r="52" spans="2:10">
      <c r="B52" s="2">
        <f t="shared" si="2"/>
        <v>2051</v>
      </c>
      <c r="C52" s="11">
        <f>IF($B$12&gt;=B52,+C51*(1+overzicht!$I$13),0)</f>
        <v>20228.95940495747</v>
      </c>
      <c r="D52" s="11">
        <f>IF($B$12&gt;=B52,+D51*(1+overzicht!$I$12),0)</f>
        <v>43248.674845348527</v>
      </c>
      <c r="E52" s="40">
        <v>0</v>
      </c>
      <c r="F52" s="11">
        <f t="shared" si="3"/>
        <v>38.5</v>
      </c>
      <c r="G52" s="11">
        <f>(C52+D52)/(1+overzicht!$I$11)^F52</f>
        <v>6735.1135172926151</v>
      </c>
      <c r="H52" s="13">
        <f>E52*(1+overzicht!$I$13)^J52/(1+overzicht!$I$11)^F52</f>
        <v>0</v>
      </c>
      <c r="J52">
        <v>38</v>
      </c>
    </row>
    <row r="53" spans="2:10">
      <c r="B53" s="2">
        <f t="shared" si="2"/>
        <v>2052</v>
      </c>
      <c r="C53" s="11">
        <f>IF($B$12&gt;=B53,+C52*(1+overzicht!$I$13),0)</f>
        <v>20886.400585618587</v>
      </c>
      <c r="D53" s="11">
        <f>IF($B$12&gt;=B53,+D52*(1+overzicht!$I$12),0)</f>
        <v>44221.770029368869</v>
      </c>
      <c r="E53" s="40">
        <v>0</v>
      </c>
      <c r="F53" s="11">
        <f t="shared" si="3"/>
        <v>39.5</v>
      </c>
      <c r="G53" s="11">
        <f>(C53+D53)/(1+overzicht!$I$11)^F53</f>
        <v>6517.0914456895453</v>
      </c>
      <c r="H53" s="13">
        <f>E53*(1+overzicht!$I$13)^J53/(1+overzicht!$I$11)^F53</f>
        <v>0</v>
      </c>
      <c r="J53">
        <v>39</v>
      </c>
    </row>
    <row r="54" spans="2:10">
      <c r="B54" s="2">
        <f t="shared" si="2"/>
        <v>2053</v>
      </c>
      <c r="C54" s="11">
        <f>IF($B$12&gt;=B54,+C53*(1+overzicht!$I$13),0)</f>
        <v>0</v>
      </c>
      <c r="D54" s="11">
        <f>IF($B$12&gt;=B54,+D53*(1+overzicht!$I$12),0)</f>
        <v>0</v>
      </c>
      <c r="E54" s="40">
        <v>0</v>
      </c>
      <c r="F54" s="11">
        <f t="shared" si="3"/>
        <v>40.5</v>
      </c>
      <c r="G54" s="11">
        <f>(C54+D54)/(1+overzicht!$I$11)^F54</f>
        <v>0</v>
      </c>
      <c r="H54" s="13">
        <f>E54*(1+overzicht!$I$13)^J54/(1+overzicht!$I$11)^F54</f>
        <v>0</v>
      </c>
      <c r="J54">
        <v>40</v>
      </c>
    </row>
    <row r="55" spans="2:10">
      <c r="B55" s="2">
        <f t="shared" si="2"/>
        <v>2054</v>
      </c>
      <c r="C55" s="11">
        <f>IF($B$12&gt;=B55,+C54*(1+overzicht!$I$13),0)</f>
        <v>0</v>
      </c>
      <c r="D55" s="11">
        <f>IF($B$12&gt;=B55,+D54*(1+overzicht!$I$12),0)</f>
        <v>0</v>
      </c>
      <c r="E55" s="40">
        <v>0</v>
      </c>
      <c r="F55" s="11">
        <f t="shared" si="3"/>
        <v>41.5</v>
      </c>
      <c r="G55" s="11">
        <f>(C55+D55)/(1+overzicht!$I$11)^F55</f>
        <v>0</v>
      </c>
      <c r="H55" s="13">
        <f>E55*(1+overzicht!$I$13)^J55/(1+overzicht!$I$11)^F55</f>
        <v>0</v>
      </c>
      <c r="J55">
        <v>41</v>
      </c>
    </row>
    <row r="56" spans="2:10">
      <c r="B56" s="2">
        <f t="shared" si="2"/>
        <v>2055</v>
      </c>
      <c r="C56" s="11">
        <f>IF($B$12&gt;=B56,+C55*(1+overzicht!$I$13),0)</f>
        <v>0</v>
      </c>
      <c r="D56" s="11">
        <f>IF($B$12&gt;=B56,+D55*(1+overzicht!$I$12),0)</f>
        <v>0</v>
      </c>
      <c r="E56" s="40">
        <v>0</v>
      </c>
      <c r="F56" s="11">
        <f t="shared" si="3"/>
        <v>42.5</v>
      </c>
      <c r="G56" s="11">
        <f>(C56+D56)/(1+overzicht!$I$11)^F56</f>
        <v>0</v>
      </c>
      <c r="H56" s="13">
        <f>E56*(1+overzicht!$I$13)^J56/(1+overzicht!$I$11)^F56</f>
        <v>0</v>
      </c>
      <c r="J56">
        <v>42</v>
      </c>
    </row>
    <row r="57" spans="2:10">
      <c r="B57" s="2">
        <f t="shared" si="2"/>
        <v>2056</v>
      </c>
      <c r="C57" s="11">
        <f>IF($B$12&gt;=B57,+C56*(1+overzicht!$I$13),0)</f>
        <v>0</v>
      </c>
      <c r="D57" s="11">
        <f>IF($B$12&gt;=B57,+D56*(1+overzicht!$I$12),0)</f>
        <v>0</v>
      </c>
      <c r="E57" s="40">
        <v>0</v>
      </c>
      <c r="F57" s="11">
        <f t="shared" si="3"/>
        <v>43.5</v>
      </c>
      <c r="G57" s="11">
        <f>(C57+D57)/(1+overzicht!$I$11)^F57</f>
        <v>0</v>
      </c>
      <c r="H57" s="13">
        <f>E57*(1+overzicht!$I$13)^J57/(1+overzicht!$I$11)^F57</f>
        <v>0</v>
      </c>
      <c r="J57">
        <v>43</v>
      </c>
    </row>
    <row r="58" spans="2:10">
      <c r="B58" s="2">
        <f t="shared" si="2"/>
        <v>2057</v>
      </c>
      <c r="C58" s="11">
        <f>IF($B$12&gt;=B58,+C57*(1+overzicht!$I$13),0)</f>
        <v>0</v>
      </c>
      <c r="D58" s="11">
        <f>IF($B$12&gt;=B58,+D57*(1+overzicht!$I$12),0)</f>
        <v>0</v>
      </c>
      <c r="E58" s="40">
        <v>0</v>
      </c>
      <c r="F58" s="11">
        <f t="shared" si="3"/>
        <v>44.5</v>
      </c>
      <c r="G58" s="11">
        <f>(C58+D58)/(1+overzicht!$I$11)^F58</f>
        <v>0</v>
      </c>
      <c r="H58" s="13">
        <f>E58*(1+overzicht!$I$13)^J58/(1+overzicht!$I$11)^F58</f>
        <v>0</v>
      </c>
      <c r="J58">
        <v>44</v>
      </c>
    </row>
    <row r="59" spans="2:10">
      <c r="B59" s="2">
        <f t="shared" si="2"/>
        <v>2058</v>
      </c>
      <c r="C59" s="11">
        <f>IF($B$12&gt;=B59,+C58*(1+overzicht!$I$13),0)</f>
        <v>0</v>
      </c>
      <c r="D59" s="11">
        <f>IF($B$12&gt;=B59,+D58*(1+overzicht!$I$12),0)</f>
        <v>0</v>
      </c>
      <c r="E59" s="40">
        <v>0</v>
      </c>
      <c r="F59" s="11">
        <f t="shared" si="3"/>
        <v>45.5</v>
      </c>
      <c r="G59" s="11">
        <f>(C59+D59)/(1+overzicht!$I$11)^F59</f>
        <v>0</v>
      </c>
      <c r="H59" s="13">
        <f>E59*(1+overzicht!$I$13)^J59/(1+overzicht!$I$11)^F59</f>
        <v>0</v>
      </c>
      <c r="J59">
        <v>45</v>
      </c>
    </row>
    <row r="60" spans="2:10">
      <c r="B60" s="2">
        <f t="shared" si="2"/>
        <v>2059</v>
      </c>
      <c r="C60" s="11">
        <f>IF($B$12&gt;=B60,+C59*(1+overzicht!$I$13),0)</f>
        <v>0</v>
      </c>
      <c r="D60" s="11">
        <f>IF($B$12&gt;=B60,+D59*(1+overzicht!$I$12),0)</f>
        <v>0</v>
      </c>
      <c r="E60" s="40">
        <v>0</v>
      </c>
      <c r="F60" s="11">
        <f t="shared" si="3"/>
        <v>46.5</v>
      </c>
      <c r="G60" s="11">
        <f>(C60+D60)/(1+overzicht!$I$11)^F60</f>
        <v>0</v>
      </c>
      <c r="H60" s="13">
        <f>E60*(1+overzicht!$I$13)^J60/(1+overzicht!$I$11)^F60</f>
        <v>0</v>
      </c>
      <c r="J60">
        <v>46</v>
      </c>
    </row>
    <row r="61" spans="2:10">
      <c r="B61" s="2">
        <f t="shared" si="2"/>
        <v>2060</v>
      </c>
      <c r="C61" s="11">
        <f>IF($B$12&gt;=B61,+C60*(1+overzicht!$I$13),0)</f>
        <v>0</v>
      </c>
      <c r="D61" s="11">
        <f>IF($B$12&gt;=B61,+D60*(1+overzicht!$I$12),0)</f>
        <v>0</v>
      </c>
      <c r="E61" s="40">
        <v>0</v>
      </c>
      <c r="F61" s="11">
        <f t="shared" si="3"/>
        <v>47.5</v>
      </c>
      <c r="G61" s="11">
        <f>(C61+D61)/(1+overzicht!$I$11)^F61</f>
        <v>0</v>
      </c>
      <c r="H61" s="13">
        <f>E61*(1+overzicht!$I$13)^J61/(1+overzicht!$I$11)^F61</f>
        <v>0</v>
      </c>
      <c r="J61">
        <v>47</v>
      </c>
    </row>
    <row r="62" spans="2:10">
      <c r="B62" s="2">
        <f t="shared" si="2"/>
        <v>2061</v>
      </c>
      <c r="C62" s="11">
        <f>IF($B$12&gt;=B62,+C61*(1+overzicht!$I$13),0)</f>
        <v>0</v>
      </c>
      <c r="D62" s="11">
        <f>IF($B$12&gt;=B62,+D61*(1+overzicht!$I$12),0)</f>
        <v>0</v>
      </c>
      <c r="E62" s="40">
        <v>0</v>
      </c>
      <c r="F62" s="11">
        <f t="shared" si="3"/>
        <v>48.5</v>
      </c>
      <c r="G62" s="11">
        <f>(C62+D62)/(1+overzicht!$I$11)^F62</f>
        <v>0</v>
      </c>
      <c r="H62" s="13">
        <f>E62*(1+overzicht!$I$13)^J62/(1+overzicht!$I$11)^F62</f>
        <v>0</v>
      </c>
      <c r="J62">
        <v>48</v>
      </c>
    </row>
    <row r="63" spans="2:10">
      <c r="B63" s="2">
        <f t="shared" si="2"/>
        <v>2062</v>
      </c>
      <c r="C63" s="11">
        <f>IF($B$12&gt;=B63,+C62*(1+overzicht!$I$13),0)</f>
        <v>0</v>
      </c>
      <c r="D63" s="11">
        <f>IF($B$12&gt;=B63,+D62*(1+overzicht!$I$12),0)</f>
        <v>0</v>
      </c>
      <c r="E63" s="40">
        <v>0</v>
      </c>
      <c r="F63" s="11">
        <f t="shared" si="3"/>
        <v>49.5</v>
      </c>
      <c r="G63" s="11">
        <f>(C63+D63)/(1+overzicht!$I$11)^F63</f>
        <v>0</v>
      </c>
      <c r="H63" s="13">
        <f>E63*(1+overzicht!$I$13)^J63/(1+overzicht!$I$11)^F63</f>
        <v>0</v>
      </c>
      <c r="J63">
        <v>49</v>
      </c>
    </row>
    <row r="64" spans="2:10">
      <c r="B64" s="2"/>
      <c r="C64" s="11"/>
      <c r="D64" s="11"/>
      <c r="E64" s="15"/>
      <c r="F64" s="11"/>
      <c r="G64" s="11"/>
      <c r="H64" s="13"/>
    </row>
    <row r="65" spans="2:8">
      <c r="B65" s="2"/>
      <c r="C65" s="11"/>
      <c r="D65" s="11"/>
      <c r="E65" s="11"/>
      <c r="F65" s="11"/>
      <c r="G65" s="42">
        <f>SUM(G14:G63)</f>
        <v>535229.81716125249</v>
      </c>
      <c r="H65" s="43">
        <f>SUM(H14:H63)</f>
        <v>57415.740272411851</v>
      </c>
    </row>
    <row r="66" spans="2:8">
      <c r="B66" s="2"/>
      <c r="C66" s="11"/>
      <c r="D66" s="11"/>
      <c r="E66" s="15"/>
      <c r="F66" s="11"/>
      <c r="G66" s="11"/>
      <c r="H66" s="13"/>
    </row>
    <row r="67" spans="2:8">
      <c r="B67" s="4"/>
      <c r="C67" s="12"/>
      <c r="D67" s="12"/>
      <c r="E67" s="22"/>
      <c r="F67" s="12"/>
      <c r="G67" s="12"/>
      <c r="H67" s="14"/>
    </row>
  </sheetData>
  <phoneticPr fontId="8" type="noConversion"/>
  <pageMargins left="1.1875" right="0.4" top="0.83333333333333337" bottom="0.83333333333333337" header="0.33333333333333337" footer="0.33333333333333337"/>
  <pageSetup paperSize="9" scale="80" orientation="portrait" horizontalDpi="300" r:id="rId1"/>
  <headerFooter alignWithMargins="0">
    <oddFooter>&amp;L&amp;"Arial"&amp;10 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3</vt:i4>
      </vt:variant>
    </vt:vector>
  </HeadingPairs>
  <TitlesOfParts>
    <vt:vector size="6" baseType="lpstr">
      <vt:lpstr>overzicht</vt:lpstr>
      <vt:lpstr>ontvangsten</vt:lpstr>
      <vt:lpstr>uitgaven</vt:lpstr>
      <vt:lpstr>ontvangsten!Afdrukbereik</vt:lpstr>
      <vt:lpstr>overzicht!Afdrukbereik</vt:lpstr>
      <vt:lpstr>uitgaven!Afdrukbereik</vt:lpstr>
    </vt:vector>
  </TitlesOfParts>
  <Company>Wst Spectrum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Henk Mohlmann</dc:creator>
  <cp:lastModifiedBy>Johan</cp:lastModifiedBy>
  <cp:lastPrinted>2010-12-16T15:05:49Z</cp:lastPrinted>
  <dcterms:created xsi:type="dcterms:W3CDTF">1999-03-09T07:35:26Z</dcterms:created>
  <dcterms:modified xsi:type="dcterms:W3CDTF">2015-03-02T13:57:23Z</dcterms:modified>
</cp:coreProperties>
</file>